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53222"/>
  <mc:AlternateContent xmlns:mc="http://schemas.openxmlformats.org/markup-compatibility/2006">
    <mc:Choice Requires="x15">
      <x15ac:absPath xmlns:x15ac="http://schemas.microsoft.com/office/spreadsheetml/2010/11/ac" url="C:\Users\211106\Desktop\"/>
    </mc:Choice>
  </mc:AlternateContent>
  <bookViews>
    <workbookView xWindow="0" yWindow="0" windowWidth="18960" windowHeight="5385" tabRatio="930" activeTab="6"/>
  </bookViews>
  <sheets>
    <sheet name="작성및삭제금지" sheetId="21" r:id="rId1"/>
    <sheet name="작성요령" sheetId="2" r:id="rId2"/>
    <sheet name="참여신청서" sheetId="3" r:id="rId3"/>
    <sheet name="참여업체" sheetId="4" r:id="rId4"/>
    <sheet name="지분율산정" sheetId="26" r:id="rId5"/>
    <sheet name="자기평가서-기술적이행능력평가(1단계)" sheetId="23" r:id="rId6"/>
    <sheet name="자기평가서(2단계-종합기술제안서 정량평가)" sheetId="1" r:id="rId7"/>
    <sheet name="업무중첩도" sheetId="10" r:id="rId8"/>
    <sheet name="2-1 용역평가결과" sheetId="6" r:id="rId9"/>
    <sheet name="2-2 기술개발 및 투자실적" sheetId="5" r:id="rId10"/>
    <sheet name="2-3 유사용역실적" sheetId="7" r:id="rId11"/>
    <sheet name="3-1 참여기술인(등급)" sheetId="8" r:id="rId12"/>
    <sheet name="3-2 책임기술인" sheetId="12" r:id="rId13"/>
    <sheet name="3-2 분야별기술인(토목)" sheetId="13" r:id="rId14"/>
    <sheet name="3-2 분야별기술인(안전)" sheetId="22" r:id="rId15"/>
    <sheet name="3-2 기술지원기술인(기술지원)" sheetId="17" r:id="rId16"/>
    <sheet name="3-3 교육훈련" sheetId="18" r:id="rId17"/>
    <sheet name="4.BIM전문인력 구성" sheetId="25" r:id="rId18"/>
    <sheet name="5-1 (가점)건설기술인 신규고용율" sheetId="20" r:id="rId19"/>
    <sheet name="5-2 (가점)젊은기술인 참여비율" sheetId="24" r:id="rId20"/>
  </sheets>
  <definedNames>
    <definedName name="_xlnm._FilterDatabase" localSheetId="0" hidden="1">작성및삭제금지!$A$4:$R$4</definedName>
    <definedName name="_xlnm.Print_Area" localSheetId="8">'2-1 용역평가결과'!$A$1:$J$26</definedName>
    <definedName name="_xlnm.Print_Area" localSheetId="9">'2-2 기술개발 및 투자실적'!$A$1:$L$90</definedName>
    <definedName name="_xlnm.Print_Area" localSheetId="10">'2-3 유사용역실적'!$A$1:$N$182</definedName>
    <definedName name="_xlnm.Print_Area" localSheetId="11">'3-1 참여기술인(등급)'!$A$1:$K$38</definedName>
    <definedName name="_xlnm.Print_Area" localSheetId="15">'3-2 기술지원기술인(기술지원)'!$A$1:$M$7</definedName>
    <definedName name="_xlnm.Print_Area" localSheetId="14">'3-2 분야별기술인(안전)'!$A$1:$M$14</definedName>
    <definedName name="_xlnm.Print_Area" localSheetId="13">'3-2 분야별기술인(토목)'!$A$1:$M$8</definedName>
    <definedName name="_xlnm.Print_Area" localSheetId="12">'3-2 책임기술인'!$A$1:$M$11</definedName>
    <definedName name="_xlnm.Print_Area" localSheetId="17">'4.BIM전문인력 구성'!$A$1:$M$11</definedName>
    <definedName name="_xlnm.Print_Area" localSheetId="18">'5-1 (가점)건설기술인 신규고용율'!$A$1:$G$29</definedName>
    <definedName name="_xlnm.Print_Area" localSheetId="19">'5-2 (가점)젊은기술인 참여비율'!$A$1:$G$27</definedName>
    <definedName name="_xlnm.Print_Area" localSheetId="7">업무중첩도!$A$1:$I$14</definedName>
    <definedName name="_xlnm.Print_Area" localSheetId="6">'자기평가서(2단계-종합기술제안서 정량평가)'!$A$1:$K$57</definedName>
    <definedName name="_xlnm.Print_Area" localSheetId="5">'자기평가서-기술적이행능력평가(1단계)'!$A$1:$K$38</definedName>
    <definedName name="_xlnm.Print_Area" localSheetId="0">작성및삭제금지!$A$1:$R$5</definedName>
    <definedName name="_xlnm.Print_Area" localSheetId="4">지분율산정!$A$1:$I$13</definedName>
    <definedName name="_xlnm.Print_Titles" localSheetId="12">'3-2 책임기술인'!$8:$8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2" i="1" l="1"/>
  <c r="K12" i="26" l="1"/>
  <c r="K11" i="26"/>
  <c r="K9" i="26"/>
  <c r="K10" i="26"/>
  <c r="C8" i="26"/>
  <c r="C12" i="26" l="1"/>
  <c r="C11" i="26"/>
  <c r="C10" i="26"/>
  <c r="D10" i="26" s="1"/>
  <c r="C9" i="26"/>
  <c r="D9" i="26" s="1"/>
  <c r="D8" i="26"/>
  <c r="C7" i="26"/>
  <c r="D7" i="26" s="1"/>
  <c r="P6" i="25"/>
  <c r="P5" i="25"/>
  <c r="Q5" i="25" s="1"/>
  <c r="P4" i="25"/>
  <c r="Q4" i="25" s="1"/>
  <c r="O6" i="25"/>
  <c r="O5" i="25"/>
  <c r="O4" i="25"/>
  <c r="K9" i="25"/>
  <c r="L9" i="25" s="1"/>
  <c r="Q7" i="25" l="1"/>
  <c r="Q8" i="25" s="1"/>
  <c r="D13" i="26"/>
  <c r="C13" i="26"/>
  <c r="A2" i="26"/>
  <c r="H57" i="1" l="1"/>
  <c r="F43" i="1"/>
  <c r="I46" i="1"/>
  <c r="I9" i="1"/>
  <c r="E22" i="20"/>
  <c r="E29" i="20"/>
  <c r="E23" i="20"/>
  <c r="E17" i="20"/>
  <c r="E38" i="24"/>
  <c r="E39" i="24" s="1"/>
  <c r="A35" i="24"/>
  <c r="E32" i="24"/>
  <c r="E33" i="24" s="1"/>
  <c r="E26" i="24"/>
  <c r="D23" i="24"/>
  <c r="E20" i="24"/>
  <c r="E14" i="24"/>
  <c r="E15" i="24" s="1"/>
  <c r="D35" i="24"/>
  <c r="D29" i="24"/>
  <c r="A29" i="24"/>
  <c r="D8" i="24"/>
  <c r="A8" i="24"/>
  <c r="A23" i="24" s="1"/>
  <c r="D7" i="24"/>
  <c r="D17" i="24" s="1"/>
  <c r="A7" i="24"/>
  <c r="A17" i="24" s="1"/>
  <c r="D6" i="24"/>
  <c r="D11" i="24" s="1"/>
  <c r="A6" i="24"/>
  <c r="A11" i="24" s="1"/>
  <c r="I37" i="23"/>
  <c r="I31" i="23"/>
  <c r="I36" i="23"/>
  <c r="I34" i="23"/>
  <c r="I21" i="23"/>
  <c r="O33" i="1"/>
  <c r="O32" i="1"/>
  <c r="N35" i="1"/>
  <c r="O35" i="1" s="1"/>
  <c r="N34" i="1"/>
  <c r="N36" i="1" s="1"/>
  <c r="O36" i="1" s="1"/>
  <c r="N32" i="1"/>
  <c r="N33" i="1"/>
  <c r="J35" i="1"/>
  <c r="I18" i="1"/>
  <c r="J17" i="1"/>
  <c r="J11" i="1"/>
  <c r="J12" i="1" s="1"/>
  <c r="I11" i="1"/>
  <c r="I12" i="1" s="1"/>
  <c r="L11" i="25" l="1"/>
  <c r="J43" i="1" s="1"/>
  <c r="J46" i="1" s="1"/>
  <c r="O34" i="1"/>
  <c r="E21" i="24"/>
  <c r="E7" i="24" s="1"/>
  <c r="E27" i="24"/>
  <c r="E8" i="24" s="1"/>
  <c r="E6" i="24"/>
  <c r="E9" i="24" l="1"/>
  <c r="F6" i="24" s="1"/>
  <c r="J48" i="1" s="1"/>
  <c r="G19" i="6" l="1"/>
  <c r="I19" i="6"/>
  <c r="I20" i="6"/>
  <c r="G20" i="6" s="1"/>
  <c r="F9" i="6" l="1"/>
  <c r="F8" i="6"/>
  <c r="K4" i="23"/>
  <c r="H31" i="23" l="1"/>
  <c r="F28" i="23"/>
  <c r="J28" i="23" s="1"/>
  <c r="C5" i="4"/>
  <c r="M11" i="12" l="1"/>
  <c r="J147" i="7"/>
  <c r="J142" i="7"/>
  <c r="J143" i="7"/>
  <c r="J138" i="7"/>
  <c r="J128" i="7"/>
  <c r="J85" i="7"/>
  <c r="J82" i="7"/>
  <c r="J81" i="7"/>
  <c r="J65" i="7"/>
  <c r="J46" i="7"/>
  <c r="J70" i="7"/>
  <c r="E8" i="10" l="1"/>
  <c r="E7" i="10"/>
  <c r="E6" i="10"/>
  <c r="E5" i="10"/>
  <c r="J157" i="7"/>
  <c r="J156" i="7"/>
  <c r="J155" i="7"/>
  <c r="J151" i="7"/>
  <c r="J152" i="7"/>
  <c r="J148" i="7"/>
  <c r="J141" i="7"/>
  <c r="J144" i="7"/>
  <c r="J135" i="7" l="1"/>
  <c r="J129" i="7"/>
  <c r="J127" i="7"/>
  <c r="J126" i="7"/>
  <c r="J125" i="7"/>
  <c r="J124" i="7"/>
  <c r="J120" i="7"/>
  <c r="J121" i="7"/>
  <c r="J112" i="7"/>
  <c r="J113" i="7"/>
  <c r="J114" i="7"/>
  <c r="J115" i="7"/>
  <c r="J116" i="7"/>
  <c r="J117" i="7"/>
  <c r="J109" i="7"/>
  <c r="E34" i="20"/>
  <c r="F21" i="1"/>
  <c r="M15" i="22"/>
  <c r="J28" i="8"/>
  <c r="I28" i="8"/>
  <c r="M9" i="13"/>
  <c r="M12" i="12" l="1"/>
  <c r="A28" i="8" l="1"/>
  <c r="J73" i="7" l="1"/>
  <c r="J71" i="7"/>
  <c r="J69" i="7"/>
  <c r="J68" i="7"/>
  <c r="J66" i="7"/>
  <c r="J51" i="7"/>
  <c r="J64" i="7"/>
  <c r="J63" i="7"/>
  <c r="J62" i="7"/>
  <c r="J61" i="7"/>
  <c r="J54" i="7"/>
  <c r="J55" i="7"/>
  <c r="J56" i="7"/>
  <c r="J57" i="7"/>
  <c r="J58" i="7"/>
  <c r="J50" i="7"/>
  <c r="J44" i="7"/>
  <c r="J45" i="7"/>
  <c r="J47" i="7"/>
  <c r="J40" i="7"/>
  <c r="J41" i="7"/>
  <c r="J32" i="7"/>
  <c r="J33" i="7"/>
  <c r="J30" i="7"/>
  <c r="J31" i="7"/>
  <c r="J28" i="7"/>
  <c r="J27" i="7"/>
  <c r="H27" i="5"/>
  <c r="G26" i="5"/>
  <c r="G25" i="5"/>
  <c r="G24" i="5"/>
  <c r="G27" i="5" l="1"/>
  <c r="I24" i="5" s="1"/>
  <c r="J24" i="5" s="1"/>
  <c r="J88" i="7" l="1"/>
  <c r="J77" i="7"/>
  <c r="J78" i="7"/>
  <c r="E5" i="4"/>
  <c r="D5" i="4"/>
  <c r="I55" i="1" l="1"/>
  <c r="I56" i="1" s="1"/>
  <c r="I57" i="1" s="1"/>
  <c r="J54" i="1"/>
  <c r="J53" i="1"/>
  <c r="G11" i="23" l="1"/>
  <c r="J23" i="23"/>
  <c r="J22" i="23"/>
  <c r="H24" i="23"/>
  <c r="H37" i="23" s="1"/>
  <c r="A12" i="17" l="1"/>
  <c r="I27" i="1" l="1"/>
  <c r="K3" i="1" l="1"/>
  <c r="K4" i="1"/>
  <c r="G2" i="24" l="1"/>
  <c r="J3" i="25"/>
  <c r="G30" i="24"/>
  <c r="F36" i="24"/>
  <c r="G37" i="24" s="1"/>
  <c r="G18" i="24"/>
  <c r="F13" i="24"/>
  <c r="G36" i="24"/>
  <c r="F24" i="24"/>
  <c r="G25" i="24" s="1"/>
  <c r="G12" i="24"/>
  <c r="F31" i="24"/>
  <c r="F30" i="24"/>
  <c r="G31" i="24" s="1"/>
  <c r="F18" i="24"/>
  <c r="G19" i="24" s="1"/>
  <c r="F37" i="24"/>
  <c r="G24" i="24"/>
  <c r="F12" i="24"/>
  <c r="G13" i="24" s="1"/>
  <c r="F19" i="24"/>
  <c r="F25" i="24"/>
  <c r="H32" i="8"/>
  <c r="H30" i="8"/>
  <c r="J21" i="1" s="1"/>
  <c r="J5" i="25" l="1"/>
  <c r="J4" i="25"/>
  <c r="F20" i="1"/>
  <c r="I10" i="25" l="1"/>
  <c r="I9" i="25"/>
  <c r="G9" i="23"/>
  <c r="G14" i="23" l="1"/>
  <c r="G13" i="23"/>
  <c r="I15" i="18" l="1"/>
  <c r="J52" i="1" l="1"/>
  <c r="J35" i="23"/>
  <c r="G12" i="23" l="1"/>
  <c r="J9" i="23" s="1"/>
  <c r="I5" i="21" l="1"/>
  <c r="I15" i="23"/>
  <c r="D6" i="23"/>
  <c r="J20" i="23" s="1"/>
  <c r="A6" i="23"/>
  <c r="E20" i="23" s="1"/>
  <c r="D5" i="23"/>
  <c r="J19" i="23" s="1"/>
  <c r="A5" i="23"/>
  <c r="E19" i="23" s="1"/>
  <c r="D4" i="23"/>
  <c r="J18" i="23" s="1"/>
  <c r="A4" i="23"/>
  <c r="E18" i="23" s="1"/>
  <c r="D3" i="23"/>
  <c r="J17" i="23" s="1"/>
  <c r="A3" i="23"/>
  <c r="E17" i="23" s="1"/>
  <c r="D2" i="23"/>
  <c r="A2" i="23"/>
  <c r="E16" i="23" s="1"/>
  <c r="A1" i="23"/>
  <c r="J16" i="23" l="1"/>
  <c r="J21" i="23" s="1"/>
  <c r="J24" i="23" s="1"/>
  <c r="H16" i="23"/>
  <c r="I24" i="23"/>
  <c r="J5" i="21"/>
  <c r="H20" i="23"/>
  <c r="H19" i="23"/>
  <c r="H36" i="23"/>
  <c r="H17" i="23"/>
  <c r="J15" i="23"/>
  <c r="H18" i="23"/>
  <c r="H5" i="21" l="1"/>
  <c r="I38" i="23"/>
  <c r="I10" i="1" l="1"/>
  <c r="H17" i="8" l="1"/>
  <c r="H16" i="8"/>
  <c r="J96" i="7" l="1"/>
  <c r="J23" i="7"/>
  <c r="J21" i="7"/>
  <c r="J98" i="7" l="1"/>
  <c r="J99" i="7"/>
  <c r="J100" i="7"/>
  <c r="J101" i="7"/>
  <c r="J102" i="7"/>
  <c r="J103" i="7"/>
  <c r="C8" i="10" l="1"/>
  <c r="D8" i="10"/>
  <c r="H158" i="5" l="1"/>
  <c r="D14" i="18" l="1"/>
  <c r="J14" i="18" s="1"/>
  <c r="I14" i="18"/>
  <c r="D7" i="10"/>
  <c r="C7" i="10"/>
  <c r="I9" i="18" l="1"/>
  <c r="I26" i="18"/>
  <c r="I25" i="18"/>
  <c r="I24" i="18"/>
  <c r="I23" i="18"/>
  <c r="I22" i="18"/>
  <c r="I21" i="18"/>
  <c r="I19" i="18"/>
  <c r="I18" i="18"/>
  <c r="I17" i="18"/>
  <c r="I16" i="18"/>
  <c r="I13" i="18"/>
  <c r="I12" i="18"/>
  <c r="I10" i="18"/>
  <c r="J29" i="7" l="1"/>
  <c r="J26" i="7"/>
  <c r="J25" i="7"/>
  <c r="J24" i="7"/>
  <c r="J22" i="7"/>
  <c r="J20" i="7"/>
  <c r="J19" i="7"/>
  <c r="J18" i="7"/>
  <c r="H23" i="5"/>
  <c r="G22" i="5"/>
  <c r="G23" i="5" l="1"/>
  <c r="I22" i="5" s="1"/>
  <c r="J22" i="5" s="1"/>
  <c r="I45" i="6" l="1"/>
  <c r="I44" i="6"/>
  <c r="I43" i="6"/>
  <c r="I42" i="6"/>
  <c r="I41" i="6"/>
  <c r="I40" i="6"/>
  <c r="I35" i="6"/>
  <c r="I34" i="6"/>
  <c r="I33" i="6"/>
  <c r="I32" i="6"/>
  <c r="I31" i="6"/>
  <c r="I30" i="6"/>
  <c r="I25" i="6"/>
  <c r="I14" i="6"/>
  <c r="G14" i="6" s="1"/>
  <c r="J41" i="1" l="1"/>
  <c r="I41" i="1" s="1"/>
  <c r="H28" i="8" l="1"/>
  <c r="H200" i="5"/>
  <c r="J214" i="5" s="1"/>
  <c r="L268" i="5" s="1"/>
  <c r="A37" i="20" l="1"/>
  <c r="E40" i="20"/>
  <c r="E41" i="20" s="1"/>
  <c r="D10" i="20"/>
  <c r="D9" i="20"/>
  <c r="A10" i="20"/>
  <c r="J40" i="1"/>
  <c r="I40" i="1" s="1"/>
  <c r="J39" i="1"/>
  <c r="I39" i="1" s="1"/>
  <c r="I31" i="18"/>
  <c r="I24" i="1"/>
  <c r="E10" i="20" l="1"/>
  <c r="D37" i="20"/>
  <c r="F3" i="22"/>
  <c r="F2" i="22"/>
  <c r="A5" i="22"/>
  <c r="D5" i="21" l="1"/>
  <c r="C5" i="21"/>
  <c r="B5" i="21"/>
  <c r="A1" i="21"/>
  <c r="H13" i="8" l="1"/>
  <c r="H14" i="8"/>
  <c r="H15" i="8"/>
  <c r="H20" i="8"/>
  <c r="H21" i="8"/>
  <c r="H22" i="8"/>
  <c r="H23" i="8"/>
  <c r="H24" i="8"/>
  <c r="H12" i="8"/>
  <c r="H211" i="5" l="1"/>
  <c r="H210" i="5"/>
  <c r="H105" i="5"/>
  <c r="H104" i="5"/>
  <c r="M364" i="7" l="1"/>
  <c r="M363" i="7"/>
  <c r="K363" i="7"/>
  <c r="J363" i="7"/>
  <c r="M362" i="7"/>
  <c r="M361" i="7"/>
  <c r="K361" i="7"/>
  <c r="J361" i="7"/>
  <c r="M360" i="7"/>
  <c r="M359" i="7"/>
  <c r="K359" i="7"/>
  <c r="J359" i="7"/>
  <c r="M358" i="7"/>
  <c r="M357" i="7"/>
  <c r="K357" i="7"/>
  <c r="J357" i="7"/>
  <c r="M356" i="7"/>
  <c r="M355" i="7"/>
  <c r="K355" i="7"/>
  <c r="J355" i="7"/>
  <c r="M354" i="7"/>
  <c r="M353" i="7"/>
  <c r="K353" i="7"/>
  <c r="J353" i="7"/>
  <c r="M352" i="7"/>
  <c r="M351" i="7"/>
  <c r="K351" i="7"/>
  <c r="J351" i="7"/>
  <c r="M350" i="7"/>
  <c r="M349" i="7"/>
  <c r="K349" i="7"/>
  <c r="J349" i="7"/>
  <c r="M348" i="7"/>
  <c r="M347" i="7"/>
  <c r="K347" i="7"/>
  <c r="J347" i="7"/>
  <c r="M346" i="7"/>
  <c r="J345" i="7"/>
  <c r="M343" i="7"/>
  <c r="M342" i="7"/>
  <c r="K342" i="7"/>
  <c r="J342" i="7"/>
  <c r="M341" i="7"/>
  <c r="M340" i="7"/>
  <c r="K340" i="7"/>
  <c r="J340" i="7"/>
  <c r="M339" i="7"/>
  <c r="M338" i="7"/>
  <c r="K338" i="7"/>
  <c r="J338" i="7"/>
  <c r="M337" i="7"/>
  <c r="M336" i="7"/>
  <c r="K336" i="7"/>
  <c r="J336" i="7"/>
  <c r="M335" i="7"/>
  <c r="M334" i="7"/>
  <c r="K334" i="7"/>
  <c r="J334" i="7"/>
  <c r="M333" i="7"/>
  <c r="M332" i="7"/>
  <c r="K332" i="7"/>
  <c r="J332" i="7"/>
  <c r="M331" i="7"/>
  <c r="M330" i="7"/>
  <c r="K330" i="7"/>
  <c r="J330" i="7"/>
  <c r="M329" i="7"/>
  <c r="M328" i="7"/>
  <c r="K328" i="7"/>
  <c r="J328" i="7"/>
  <c r="M327" i="7"/>
  <c r="M326" i="7"/>
  <c r="K326" i="7"/>
  <c r="J326" i="7"/>
  <c r="M325" i="7"/>
  <c r="J324" i="7"/>
  <c r="A324" i="7"/>
  <c r="M319" i="7"/>
  <c r="K319" i="7"/>
  <c r="J319" i="7"/>
  <c r="M318" i="7"/>
  <c r="K318" i="7"/>
  <c r="J318" i="7"/>
  <c r="M317" i="7"/>
  <c r="K317" i="7"/>
  <c r="J317" i="7"/>
  <c r="M316" i="7"/>
  <c r="K316" i="7"/>
  <c r="J316" i="7"/>
  <c r="M315" i="7"/>
  <c r="K315" i="7"/>
  <c r="J315" i="7"/>
  <c r="M314" i="7"/>
  <c r="K314" i="7"/>
  <c r="J314" i="7"/>
  <c r="M313" i="7"/>
  <c r="K313" i="7"/>
  <c r="J313" i="7"/>
  <c r="M312" i="7"/>
  <c r="K312" i="7"/>
  <c r="J312" i="7"/>
  <c r="M311" i="7"/>
  <c r="K311" i="7"/>
  <c r="J311" i="7"/>
  <c r="M310" i="7"/>
  <c r="K310" i="7"/>
  <c r="J310" i="7"/>
  <c r="M309" i="7"/>
  <c r="K309" i="7"/>
  <c r="J309" i="7"/>
  <c r="M308" i="7"/>
  <c r="K308" i="7"/>
  <c r="J308" i="7"/>
  <c r="M307" i="7"/>
  <c r="K307" i="7"/>
  <c r="J307" i="7"/>
  <c r="M306" i="7"/>
  <c r="K306" i="7"/>
  <c r="J306" i="7"/>
  <c r="M305" i="7"/>
  <c r="K305" i="7"/>
  <c r="J305" i="7"/>
  <c r="M304" i="7"/>
  <c r="K304" i="7"/>
  <c r="J304" i="7"/>
  <c r="M303" i="7"/>
  <c r="K303" i="7"/>
  <c r="J303" i="7"/>
  <c r="M302" i="7"/>
  <c r="K302" i="7"/>
  <c r="J302" i="7"/>
  <c r="M301" i="7"/>
  <c r="K301" i="7"/>
  <c r="J301" i="7"/>
  <c r="J300" i="7"/>
  <c r="M298" i="7"/>
  <c r="K298" i="7"/>
  <c r="J298" i="7"/>
  <c r="M297" i="7"/>
  <c r="K297" i="7"/>
  <c r="J297" i="7"/>
  <c r="M296" i="7"/>
  <c r="K296" i="7"/>
  <c r="J296" i="7"/>
  <c r="M295" i="7"/>
  <c r="K295" i="7"/>
  <c r="J295" i="7"/>
  <c r="M294" i="7"/>
  <c r="K294" i="7"/>
  <c r="J294" i="7"/>
  <c r="M293" i="7"/>
  <c r="K293" i="7"/>
  <c r="J293" i="7"/>
  <c r="M292" i="7"/>
  <c r="K292" i="7"/>
  <c r="J292" i="7"/>
  <c r="M291" i="7"/>
  <c r="K291" i="7"/>
  <c r="J291" i="7"/>
  <c r="M290" i="7"/>
  <c r="K290" i="7"/>
  <c r="J290" i="7"/>
  <c r="M289" i="7"/>
  <c r="K289" i="7"/>
  <c r="J289" i="7"/>
  <c r="M288" i="7"/>
  <c r="K288" i="7"/>
  <c r="J288" i="7"/>
  <c r="M287" i="7"/>
  <c r="K287" i="7"/>
  <c r="J287" i="7"/>
  <c r="M286" i="7"/>
  <c r="K286" i="7"/>
  <c r="J286" i="7"/>
  <c r="M285" i="7"/>
  <c r="K285" i="7"/>
  <c r="J285" i="7"/>
  <c r="M284" i="7"/>
  <c r="K284" i="7"/>
  <c r="J284" i="7"/>
  <c r="M283" i="7"/>
  <c r="K283" i="7"/>
  <c r="J283" i="7"/>
  <c r="M282" i="7"/>
  <c r="K282" i="7"/>
  <c r="J282" i="7"/>
  <c r="M281" i="7"/>
  <c r="K281" i="7"/>
  <c r="J281" i="7"/>
  <c r="M280" i="7"/>
  <c r="K280" i="7"/>
  <c r="J280" i="7"/>
  <c r="J279" i="7"/>
  <c r="A279" i="7"/>
  <c r="H299" i="5"/>
  <c r="G298" i="5"/>
  <c r="G297" i="5"/>
  <c r="G296" i="5"/>
  <c r="G295" i="5"/>
  <c r="G294" i="5"/>
  <c r="H293" i="5"/>
  <c r="G292" i="5"/>
  <c r="G291" i="5"/>
  <c r="G290" i="5"/>
  <c r="G289" i="5"/>
  <c r="G288" i="5"/>
  <c r="H287" i="5"/>
  <c r="G286" i="5"/>
  <c r="G285" i="5"/>
  <c r="G284" i="5"/>
  <c r="G283" i="5"/>
  <c r="G282" i="5"/>
  <c r="H281" i="5"/>
  <c r="G280" i="5"/>
  <c r="G279" i="5"/>
  <c r="G278" i="5"/>
  <c r="G277" i="5"/>
  <c r="G276" i="5"/>
  <c r="H275" i="5"/>
  <c r="G274" i="5"/>
  <c r="G273" i="5"/>
  <c r="G272" i="5"/>
  <c r="G271" i="5"/>
  <c r="G270" i="5"/>
  <c r="H264" i="5"/>
  <c r="G263" i="5"/>
  <c r="G262" i="5"/>
  <c r="G261" i="5"/>
  <c r="G260" i="5"/>
  <c r="G259" i="5"/>
  <c r="G258" i="5"/>
  <c r="H257" i="5"/>
  <c r="G256" i="5"/>
  <c r="G255" i="5"/>
  <c r="G254" i="5"/>
  <c r="G253" i="5"/>
  <c r="G252" i="5"/>
  <c r="G251" i="5"/>
  <c r="H250" i="5"/>
  <c r="G249" i="5"/>
  <c r="G248" i="5"/>
  <c r="G247" i="5"/>
  <c r="G246" i="5"/>
  <c r="G245" i="5"/>
  <c r="G244" i="5"/>
  <c r="H243" i="5"/>
  <c r="G242" i="5"/>
  <c r="G241" i="5"/>
  <c r="G240" i="5"/>
  <c r="G239" i="5"/>
  <c r="G238" i="5"/>
  <c r="G237" i="5"/>
  <c r="H236" i="5"/>
  <c r="G235" i="5"/>
  <c r="G234" i="5"/>
  <c r="G233" i="5"/>
  <c r="G232" i="5"/>
  <c r="G231" i="5"/>
  <c r="G230" i="5"/>
  <c r="H229" i="5"/>
  <c r="G228" i="5"/>
  <c r="G227" i="5"/>
  <c r="G226" i="5"/>
  <c r="G225" i="5"/>
  <c r="G224" i="5"/>
  <c r="G223" i="5"/>
  <c r="H222" i="5"/>
  <c r="G221" i="5"/>
  <c r="G220" i="5"/>
  <c r="G219" i="5"/>
  <c r="G218" i="5"/>
  <c r="G217" i="5"/>
  <c r="G216" i="5"/>
  <c r="G211" i="5"/>
  <c r="G210" i="5"/>
  <c r="D9" i="5"/>
  <c r="A9" i="5"/>
  <c r="A199" i="5" s="1"/>
  <c r="E9" i="6"/>
  <c r="G45" i="6"/>
  <c r="G44" i="6"/>
  <c r="G43" i="6"/>
  <c r="A9" i="6"/>
  <c r="D38" i="6" s="1"/>
  <c r="G275" i="5" l="1"/>
  <c r="K270" i="5" s="1"/>
  <c r="G264" i="5"/>
  <c r="I258" i="5" s="1"/>
  <c r="J258" i="5" s="1"/>
  <c r="G257" i="5"/>
  <c r="I251" i="5" s="1"/>
  <c r="J251" i="5" s="1"/>
  <c r="G293" i="5"/>
  <c r="K288" i="5" s="1"/>
  <c r="G287" i="5"/>
  <c r="K282" i="5" s="1"/>
  <c r="G281" i="5"/>
  <c r="K276" i="5" s="1"/>
  <c r="D199" i="5"/>
  <c r="G236" i="5"/>
  <c r="I230" i="5" s="1"/>
  <c r="J230" i="5" s="1"/>
  <c r="G229" i="5"/>
  <c r="I223" i="5" s="1"/>
  <c r="J223" i="5" s="1"/>
  <c r="G222" i="5"/>
  <c r="I216" i="5" s="1"/>
  <c r="J216" i="5" s="1"/>
  <c r="G299" i="5"/>
  <c r="K294" i="5" s="1"/>
  <c r="G250" i="5"/>
  <c r="I244" i="5" s="1"/>
  <c r="J244" i="5" s="1"/>
  <c r="G243" i="5"/>
  <c r="I237" i="5" s="1"/>
  <c r="J237" i="5" s="1"/>
  <c r="E10" i="7"/>
  <c r="A10" i="7"/>
  <c r="E276" i="7" s="1"/>
  <c r="D6" i="1"/>
  <c r="A6" i="1"/>
  <c r="H6" i="4"/>
  <c r="J265" i="5" l="1"/>
  <c r="F2" i="17"/>
  <c r="I31" i="1" l="1"/>
  <c r="E9" i="7"/>
  <c r="E8" i="7"/>
  <c r="E7" i="7"/>
  <c r="E6" i="7"/>
  <c r="A9" i="7"/>
  <c r="A8" i="7"/>
  <c r="A7" i="7"/>
  <c r="A6" i="7"/>
  <c r="A123" i="7" l="1"/>
  <c r="A108" i="7"/>
  <c r="A60" i="7"/>
  <c r="A39" i="7"/>
  <c r="A28" i="7"/>
  <c r="I3" i="18"/>
  <c r="D8" i="20"/>
  <c r="D7" i="20"/>
  <c r="D6" i="20"/>
  <c r="A9" i="20"/>
  <c r="A31" i="20" s="1"/>
  <c r="A8" i="20"/>
  <c r="A25" i="20" s="1"/>
  <c r="A7" i="20"/>
  <c r="A19" i="20" s="1"/>
  <c r="A6" i="20"/>
  <c r="A13" i="20" s="1"/>
  <c r="E42" i="1" l="1"/>
  <c r="I42" i="1" s="1"/>
  <c r="D42" i="1"/>
  <c r="F30" i="1"/>
  <c r="J30" i="1" s="1"/>
  <c r="E30" i="1"/>
  <c r="E32" i="1" s="1"/>
  <c r="J3" i="12"/>
  <c r="M3" i="12" l="1"/>
  <c r="J3" i="22"/>
  <c r="M3" i="22" s="1"/>
  <c r="L9" i="22" s="1"/>
  <c r="J31" i="1"/>
  <c r="F14" i="1"/>
  <c r="J14" i="1" s="1"/>
  <c r="F13" i="1"/>
  <c r="B14" i="1"/>
  <c r="N9" i="22" l="1"/>
  <c r="M9" i="22"/>
  <c r="L11" i="22"/>
  <c r="N11" i="22" s="1"/>
  <c r="L10" i="22"/>
  <c r="L7" i="22"/>
  <c r="L8" i="22"/>
  <c r="L5" i="22"/>
  <c r="G2" i="20"/>
  <c r="M11" i="22" l="1"/>
  <c r="N10" i="22"/>
  <c r="M10" i="22"/>
  <c r="N8" i="22"/>
  <c r="M8" i="22"/>
  <c r="M7" i="22"/>
  <c r="N7" i="22"/>
  <c r="M6" i="22"/>
  <c r="F39" i="20"/>
  <c r="G38" i="20"/>
  <c r="F38" i="20"/>
  <c r="G39" i="20" s="1"/>
  <c r="J19" i="1"/>
  <c r="E20" i="1"/>
  <c r="F19" i="1"/>
  <c r="E19" i="1"/>
  <c r="E22" i="1" s="1"/>
  <c r="M12" i="22" l="1"/>
  <c r="M13" i="22" s="1"/>
  <c r="N13" i="22" s="1"/>
  <c r="E23" i="1"/>
  <c r="F23" i="1" s="1"/>
  <c r="E41" i="1"/>
  <c r="E25" i="1"/>
  <c r="F22" i="1"/>
  <c r="E40" i="1"/>
  <c r="M63" i="8" l="1"/>
  <c r="M66" i="8"/>
  <c r="J23" i="1" s="1"/>
  <c r="M64" i="8"/>
  <c r="E26" i="1"/>
  <c r="F26" i="1" s="1"/>
  <c r="M65" i="8"/>
  <c r="M43" i="8"/>
  <c r="M45" i="8"/>
  <c r="J22" i="1" s="1"/>
  <c r="M46" i="8"/>
  <c r="M44" i="8"/>
  <c r="I4" i="7"/>
  <c r="L162" i="5"/>
  <c r="J108" i="5"/>
  <c r="H94" i="5"/>
  <c r="L85" i="5"/>
  <c r="J78" i="5"/>
  <c r="H66" i="5"/>
  <c r="L57" i="5"/>
  <c r="J46" i="5"/>
  <c r="H40" i="5"/>
  <c r="L31" i="5"/>
  <c r="J20" i="5"/>
  <c r="H13" i="5"/>
  <c r="A2" i="10"/>
  <c r="D8" i="5"/>
  <c r="D93" i="5" s="1"/>
  <c r="D7" i="5"/>
  <c r="D65" i="5" s="1"/>
  <c r="D6" i="5"/>
  <c r="D39" i="5" s="1"/>
  <c r="D5" i="5"/>
  <c r="A8" i="5"/>
  <c r="A93" i="5" s="1"/>
  <c r="A7" i="5"/>
  <c r="A65" i="5" s="1"/>
  <c r="A6" i="5"/>
  <c r="A39" i="5" s="1"/>
  <c r="A5" i="5"/>
  <c r="A12" i="5" s="1"/>
  <c r="A8" i="6"/>
  <c r="A7" i="6"/>
  <c r="A6" i="6"/>
  <c r="A5" i="6"/>
  <c r="G33" i="6"/>
  <c r="G34" i="6"/>
  <c r="G35" i="6"/>
  <c r="G25" i="6"/>
  <c r="E35" i="20"/>
  <c r="E9" i="20" s="1"/>
  <c r="E28" i="20"/>
  <c r="E16" i="20"/>
  <c r="D31" i="20"/>
  <c r="D25" i="20"/>
  <c r="F33" i="20"/>
  <c r="D19" i="20"/>
  <c r="D13" i="20"/>
  <c r="Q66" i="8" l="1"/>
  <c r="J26" i="1"/>
  <c r="G17" i="5"/>
  <c r="H17" i="5" s="1"/>
  <c r="J5" i="5"/>
  <c r="Q64" i="8"/>
  <c r="Q63" i="8"/>
  <c r="I7" i="7"/>
  <c r="I6" i="7"/>
  <c r="E8" i="20"/>
  <c r="Q65" i="8"/>
  <c r="E6" i="20"/>
  <c r="M50" i="8"/>
  <c r="M51" i="8"/>
  <c r="M49" i="8"/>
  <c r="M48" i="8"/>
  <c r="M55" i="8"/>
  <c r="M53" i="8"/>
  <c r="M56" i="8"/>
  <c r="M54" i="8"/>
  <c r="D12" i="5"/>
  <c r="G209" i="5"/>
  <c r="H209" i="5" s="1"/>
  <c r="G208" i="5"/>
  <c r="H208" i="5" s="1"/>
  <c r="G207" i="5"/>
  <c r="H207" i="5" s="1"/>
  <c r="G203" i="5"/>
  <c r="H203" i="5" s="1"/>
  <c r="G206" i="5"/>
  <c r="H206" i="5" s="1"/>
  <c r="G205" i="5"/>
  <c r="H205" i="5" s="1"/>
  <c r="G202" i="5"/>
  <c r="H202" i="5" s="1"/>
  <c r="G204" i="5"/>
  <c r="H204" i="5" s="1"/>
  <c r="I270" i="5"/>
  <c r="J270" i="5" s="1"/>
  <c r="L270" i="5" s="1"/>
  <c r="I276" i="5"/>
  <c r="J276" i="5" s="1"/>
  <c r="L276" i="5" s="1"/>
  <c r="I282" i="5"/>
  <c r="J282" i="5" s="1"/>
  <c r="L282" i="5" s="1"/>
  <c r="I288" i="5"/>
  <c r="J288" i="5" s="1"/>
  <c r="L288" i="5" s="1"/>
  <c r="I294" i="5"/>
  <c r="J294" i="5" s="1"/>
  <c r="L294" i="5" s="1"/>
  <c r="G26" i="6"/>
  <c r="G21" i="6"/>
  <c r="E7" i="20"/>
  <c r="F14" i="20"/>
  <c r="G15" i="20" s="1"/>
  <c r="F20" i="20"/>
  <c r="G21" i="20" s="1"/>
  <c r="F26" i="20"/>
  <c r="G27" i="20" s="1"/>
  <c r="F32" i="20"/>
  <c r="G33" i="20" s="1"/>
  <c r="G14" i="20"/>
  <c r="G20" i="20"/>
  <c r="G26" i="20"/>
  <c r="G32" i="20"/>
  <c r="F15" i="20"/>
  <c r="F21" i="20"/>
  <c r="F27" i="20"/>
  <c r="D31" i="18"/>
  <c r="D25" i="18"/>
  <c r="C25" i="18"/>
  <c r="D23" i="18"/>
  <c r="C23" i="18"/>
  <c r="D21" i="18"/>
  <c r="J21" i="18" s="1"/>
  <c r="J27" i="18" s="1"/>
  <c r="J34" i="1" s="1"/>
  <c r="C21" i="18"/>
  <c r="D18" i="18"/>
  <c r="J18" i="18" s="1"/>
  <c r="C18" i="18"/>
  <c r="D16" i="18"/>
  <c r="C16" i="18"/>
  <c r="D12" i="18"/>
  <c r="J12" i="18" s="1"/>
  <c r="J20" i="18" s="1"/>
  <c r="C12" i="18"/>
  <c r="D9" i="18"/>
  <c r="J9" i="18" s="1"/>
  <c r="J11" i="18" s="1"/>
  <c r="A30" i="17"/>
  <c r="F28" i="17"/>
  <c r="F27" i="17"/>
  <c r="F10" i="17"/>
  <c r="F9" i="17"/>
  <c r="A5" i="17"/>
  <c r="F3" i="17"/>
  <c r="A5" i="13"/>
  <c r="F3" i="13"/>
  <c r="F2" i="13"/>
  <c r="A9" i="12"/>
  <c r="E6" i="12"/>
  <c r="D6" i="12"/>
  <c r="J3" i="17"/>
  <c r="M3" i="17" s="1"/>
  <c r="D6" i="10"/>
  <c r="C6" i="10"/>
  <c r="D5" i="10"/>
  <c r="C5" i="10"/>
  <c r="H8" i="8"/>
  <c r="J13" i="1" s="1"/>
  <c r="M271" i="7"/>
  <c r="M270" i="7"/>
  <c r="K270" i="7"/>
  <c r="J270" i="7"/>
  <c r="M269" i="7"/>
  <c r="M268" i="7"/>
  <c r="K268" i="7"/>
  <c r="J268" i="7"/>
  <c r="M267" i="7"/>
  <c r="M266" i="7"/>
  <c r="K266" i="7"/>
  <c r="J266" i="7"/>
  <c r="M265" i="7"/>
  <c r="M264" i="7"/>
  <c r="K264" i="7"/>
  <c r="J264" i="7"/>
  <c r="M263" i="7"/>
  <c r="M262" i="7"/>
  <c r="K262" i="7"/>
  <c r="J262" i="7"/>
  <c r="M261" i="7"/>
  <c r="M260" i="7"/>
  <c r="K260" i="7"/>
  <c r="J260" i="7"/>
  <c r="M259" i="7"/>
  <c r="M258" i="7"/>
  <c r="K258" i="7"/>
  <c r="J258" i="7"/>
  <c r="M257" i="7"/>
  <c r="M256" i="7"/>
  <c r="K256" i="7"/>
  <c r="J256" i="7"/>
  <c r="M255" i="7"/>
  <c r="M254" i="7"/>
  <c r="K254" i="7"/>
  <c r="J254" i="7"/>
  <c r="M253" i="7"/>
  <c r="J252" i="7"/>
  <c r="M250" i="7"/>
  <c r="M249" i="7"/>
  <c r="K249" i="7"/>
  <c r="J249" i="7"/>
  <c r="M248" i="7"/>
  <c r="M247" i="7"/>
  <c r="K247" i="7"/>
  <c r="J247" i="7"/>
  <c r="M246" i="7"/>
  <c r="M245" i="7"/>
  <c r="K245" i="7"/>
  <c r="J245" i="7"/>
  <c r="M244" i="7"/>
  <c r="M243" i="7"/>
  <c r="K243" i="7"/>
  <c r="J243" i="7"/>
  <c r="M242" i="7"/>
  <c r="M241" i="7"/>
  <c r="K241" i="7"/>
  <c r="J241" i="7"/>
  <c r="M240" i="7"/>
  <c r="M239" i="7"/>
  <c r="K239" i="7"/>
  <c r="J239" i="7"/>
  <c r="M238" i="7"/>
  <c r="M237" i="7"/>
  <c r="K237" i="7"/>
  <c r="J237" i="7"/>
  <c r="M236" i="7"/>
  <c r="M235" i="7"/>
  <c r="K235" i="7"/>
  <c r="J235" i="7"/>
  <c r="M234" i="7"/>
  <c r="M233" i="7"/>
  <c r="K233" i="7"/>
  <c r="J233" i="7"/>
  <c r="M232" i="7"/>
  <c r="J231" i="7"/>
  <c r="A229" i="7"/>
  <c r="M226" i="7"/>
  <c r="K226" i="7"/>
  <c r="J226" i="7"/>
  <c r="M225" i="7"/>
  <c r="K225" i="7"/>
  <c r="J225" i="7"/>
  <c r="M224" i="7"/>
  <c r="K224" i="7"/>
  <c r="J224" i="7"/>
  <c r="M223" i="7"/>
  <c r="K223" i="7"/>
  <c r="J223" i="7"/>
  <c r="M222" i="7"/>
  <c r="K222" i="7"/>
  <c r="J222" i="7"/>
  <c r="M221" i="7"/>
  <c r="K221" i="7"/>
  <c r="J221" i="7"/>
  <c r="M220" i="7"/>
  <c r="K220" i="7"/>
  <c r="J220" i="7"/>
  <c r="M219" i="7"/>
  <c r="K219" i="7"/>
  <c r="J219" i="7"/>
  <c r="M218" i="7"/>
  <c r="K218" i="7"/>
  <c r="J218" i="7"/>
  <c r="M217" i="7"/>
  <c r="K217" i="7"/>
  <c r="J217" i="7"/>
  <c r="M216" i="7"/>
  <c r="K216" i="7"/>
  <c r="J216" i="7"/>
  <c r="M215" i="7"/>
  <c r="K215" i="7"/>
  <c r="J215" i="7"/>
  <c r="M214" i="7"/>
  <c r="K214" i="7"/>
  <c r="J214" i="7"/>
  <c r="M213" i="7"/>
  <c r="K213" i="7"/>
  <c r="J213" i="7"/>
  <c r="M212" i="7"/>
  <c r="K212" i="7"/>
  <c r="J212" i="7"/>
  <c r="M211" i="7"/>
  <c r="K211" i="7"/>
  <c r="J211" i="7"/>
  <c r="M210" i="7"/>
  <c r="K210" i="7"/>
  <c r="J210" i="7"/>
  <c r="M209" i="7"/>
  <c r="K209" i="7"/>
  <c r="J209" i="7"/>
  <c r="M208" i="7"/>
  <c r="K208" i="7"/>
  <c r="J208" i="7"/>
  <c r="J207" i="7"/>
  <c r="M205" i="7"/>
  <c r="K205" i="7"/>
  <c r="J205" i="7"/>
  <c r="M204" i="7"/>
  <c r="K204" i="7"/>
  <c r="J204" i="7"/>
  <c r="M203" i="7"/>
  <c r="K203" i="7"/>
  <c r="J203" i="7"/>
  <c r="M202" i="7"/>
  <c r="K202" i="7"/>
  <c r="J202" i="7"/>
  <c r="M201" i="7"/>
  <c r="K201" i="7"/>
  <c r="J201" i="7"/>
  <c r="M200" i="7"/>
  <c r="K200" i="7"/>
  <c r="J200" i="7"/>
  <c r="M199" i="7"/>
  <c r="K199" i="7"/>
  <c r="J199" i="7"/>
  <c r="M198" i="7"/>
  <c r="K198" i="7"/>
  <c r="J198" i="7"/>
  <c r="M197" i="7"/>
  <c r="K197" i="7"/>
  <c r="J197" i="7"/>
  <c r="M196" i="7"/>
  <c r="K196" i="7"/>
  <c r="J196" i="7"/>
  <c r="M195" i="7"/>
  <c r="K195" i="7"/>
  <c r="J195" i="7"/>
  <c r="M194" i="7"/>
  <c r="K194" i="7"/>
  <c r="J194" i="7"/>
  <c r="M193" i="7"/>
  <c r="K193" i="7"/>
  <c r="J193" i="7"/>
  <c r="M192" i="7"/>
  <c r="K192" i="7"/>
  <c r="J192" i="7"/>
  <c r="M191" i="7"/>
  <c r="K191" i="7"/>
  <c r="J191" i="7"/>
  <c r="M190" i="7"/>
  <c r="K190" i="7"/>
  <c r="J190" i="7"/>
  <c r="M189" i="7"/>
  <c r="K189" i="7"/>
  <c r="J189" i="7"/>
  <c r="M188" i="7"/>
  <c r="K188" i="7"/>
  <c r="J188" i="7"/>
  <c r="M187" i="7"/>
  <c r="K187" i="7"/>
  <c r="J187" i="7"/>
  <c r="J186" i="7"/>
  <c r="A184" i="7"/>
  <c r="J178" i="7"/>
  <c r="J175" i="7"/>
  <c r="A173" i="7"/>
  <c r="J170" i="7"/>
  <c r="J169" i="7"/>
  <c r="J167" i="7"/>
  <c r="J166" i="7"/>
  <c r="J165" i="7"/>
  <c r="A163" i="7"/>
  <c r="J154" i="7"/>
  <c r="J150" i="7"/>
  <c r="J146" i="7"/>
  <c r="J140" i="7"/>
  <c r="J137" i="7"/>
  <c r="J134" i="7"/>
  <c r="J131" i="7"/>
  <c r="J123" i="7"/>
  <c r="J119" i="7"/>
  <c r="J111" i="7"/>
  <c r="J108" i="7"/>
  <c r="A106" i="7"/>
  <c r="A94" i="7"/>
  <c r="J87" i="7"/>
  <c r="J84" i="7"/>
  <c r="J80" i="7"/>
  <c r="J76" i="7"/>
  <c r="J60" i="7"/>
  <c r="J53" i="7"/>
  <c r="J49" i="7"/>
  <c r="J43" i="7"/>
  <c r="J39" i="7"/>
  <c r="A37" i="7"/>
  <c r="J16" i="7"/>
  <c r="A231" i="7"/>
  <c r="A175" i="7"/>
  <c r="E93" i="7"/>
  <c r="A16" i="7"/>
  <c r="I147" i="7" l="1"/>
  <c r="H147" i="7"/>
  <c r="H143" i="7"/>
  <c r="H142" i="7"/>
  <c r="I143" i="7"/>
  <c r="I142" i="7"/>
  <c r="H128" i="7"/>
  <c r="H138" i="7"/>
  <c r="I128" i="7"/>
  <c r="I138" i="7"/>
  <c r="I85" i="7"/>
  <c r="H85" i="7"/>
  <c r="H82" i="7"/>
  <c r="H81" i="7"/>
  <c r="I82" i="7"/>
  <c r="I81" i="7"/>
  <c r="H46" i="7"/>
  <c r="H65" i="7"/>
  <c r="I46" i="7"/>
  <c r="I65" i="7"/>
  <c r="I70" i="7"/>
  <c r="H70" i="7"/>
  <c r="H169" i="7"/>
  <c r="H170" i="7"/>
  <c r="H151" i="7"/>
  <c r="H155" i="7"/>
  <c r="H157" i="7"/>
  <c r="H156" i="7"/>
  <c r="I151" i="7"/>
  <c r="I157" i="7"/>
  <c r="I156" i="7"/>
  <c r="I155" i="7"/>
  <c r="H152" i="7"/>
  <c r="I152" i="7"/>
  <c r="H141" i="7"/>
  <c r="H148" i="7"/>
  <c r="I141" i="7"/>
  <c r="I148" i="7"/>
  <c r="I135" i="7"/>
  <c r="I144" i="7"/>
  <c r="H135" i="7"/>
  <c r="H144" i="7"/>
  <c r="H120" i="7"/>
  <c r="H127" i="7"/>
  <c r="H126" i="7"/>
  <c r="H125" i="7"/>
  <c r="H129" i="7"/>
  <c r="H124" i="7"/>
  <c r="I120" i="7"/>
  <c r="I126" i="7"/>
  <c r="I125" i="7"/>
  <c r="I129" i="7"/>
  <c r="I124" i="7"/>
  <c r="I127" i="7"/>
  <c r="I112" i="7"/>
  <c r="I121" i="7"/>
  <c r="H112" i="7"/>
  <c r="H121" i="7"/>
  <c r="H114" i="7"/>
  <c r="H113" i="7"/>
  <c r="I114" i="7"/>
  <c r="I113" i="7"/>
  <c r="H116" i="7"/>
  <c r="H115" i="7"/>
  <c r="I116" i="7"/>
  <c r="I115" i="7"/>
  <c r="H117" i="7"/>
  <c r="I117" i="7"/>
  <c r="H109" i="7"/>
  <c r="I109" i="7"/>
  <c r="I73" i="7"/>
  <c r="H73" i="7"/>
  <c r="H68" i="7"/>
  <c r="H71" i="7"/>
  <c r="H69" i="7"/>
  <c r="I69" i="7"/>
  <c r="I68" i="7"/>
  <c r="I71" i="7"/>
  <c r="I51" i="7"/>
  <c r="I66" i="7"/>
  <c r="H51" i="7"/>
  <c r="H66" i="7"/>
  <c r="I61" i="7"/>
  <c r="I64" i="7"/>
  <c r="I62" i="7"/>
  <c r="I63" i="7"/>
  <c r="H63" i="7"/>
  <c r="H62" i="7"/>
  <c r="H61" i="7"/>
  <c r="H64" i="7"/>
  <c r="H54" i="7"/>
  <c r="H55" i="7"/>
  <c r="H56" i="7"/>
  <c r="I57" i="7"/>
  <c r="I54" i="7"/>
  <c r="I55" i="7"/>
  <c r="I56" i="7"/>
  <c r="H58" i="7"/>
  <c r="H57" i="7"/>
  <c r="I50" i="7"/>
  <c r="I58" i="7"/>
  <c r="H44" i="7"/>
  <c r="H50" i="7"/>
  <c r="I45" i="7"/>
  <c r="I44" i="7"/>
  <c r="H47" i="7"/>
  <c r="H45" i="7"/>
  <c r="I40" i="7"/>
  <c r="I47" i="7"/>
  <c r="H41" i="7"/>
  <c r="H40" i="7"/>
  <c r="I41" i="7"/>
  <c r="H32" i="7"/>
  <c r="I33" i="7"/>
  <c r="I32" i="7"/>
  <c r="H30" i="7"/>
  <c r="H33" i="7"/>
  <c r="I31" i="7"/>
  <c r="I30" i="7"/>
  <c r="H31" i="7"/>
  <c r="H27" i="7"/>
  <c r="H28" i="7"/>
  <c r="I88" i="7"/>
  <c r="I28" i="7"/>
  <c r="I27" i="7"/>
  <c r="H88" i="7"/>
  <c r="H78" i="7"/>
  <c r="H77" i="7"/>
  <c r="I78" i="7"/>
  <c r="I77" i="7"/>
  <c r="I29" i="7"/>
  <c r="I101" i="7"/>
  <c r="I18" i="7"/>
  <c r="I26" i="7"/>
  <c r="I102" i="7"/>
  <c r="I98" i="7"/>
  <c r="I25" i="7"/>
  <c r="I24" i="7"/>
  <c r="I22" i="7"/>
  <c r="I100" i="7"/>
  <c r="I19" i="7"/>
  <c r="I20" i="7"/>
  <c r="I99" i="7"/>
  <c r="I103" i="7"/>
  <c r="I21" i="7"/>
  <c r="I23" i="7"/>
  <c r="I96" i="7"/>
  <c r="L15" i="17"/>
  <c r="M15" i="17" s="1"/>
  <c r="L13" i="17"/>
  <c r="M13" i="17" s="1"/>
  <c r="L14" i="17"/>
  <c r="M14" i="17" s="1"/>
  <c r="L18" i="17"/>
  <c r="M18" i="17" s="1"/>
  <c r="L17" i="17"/>
  <c r="M17" i="17" s="1"/>
  <c r="L16" i="17"/>
  <c r="M16" i="17" s="1"/>
  <c r="L21" i="17"/>
  <c r="M21" i="17" s="1"/>
  <c r="L19" i="17"/>
  <c r="M19" i="17" s="1"/>
  <c r="L20" i="17"/>
  <c r="M20" i="17" s="1"/>
  <c r="H96" i="7"/>
  <c r="H21" i="7"/>
  <c r="H23" i="7"/>
  <c r="L24" i="17"/>
  <c r="M24" i="17" s="1"/>
  <c r="L22" i="17"/>
  <c r="M22" i="17" s="1"/>
  <c r="L38" i="17"/>
  <c r="M38" i="17" s="1"/>
  <c r="L37" i="17"/>
  <c r="M37" i="17" s="1"/>
  <c r="L36" i="17"/>
  <c r="M36" i="17" s="1"/>
  <c r="L30" i="17"/>
  <c r="M30" i="17" s="1"/>
  <c r="L12" i="17"/>
  <c r="M12" i="17" s="1"/>
  <c r="L35" i="17"/>
  <c r="M35" i="17" s="1"/>
  <c r="L34" i="17"/>
  <c r="M34" i="17" s="1"/>
  <c r="L33" i="17"/>
  <c r="M33" i="17" s="1"/>
  <c r="L32" i="17"/>
  <c r="M32" i="17" s="1"/>
  <c r="L31" i="17"/>
  <c r="M31" i="17" s="1"/>
  <c r="L23" i="17"/>
  <c r="M23" i="17" s="1"/>
  <c r="H102" i="7"/>
  <c r="H101" i="7"/>
  <c r="H99" i="7"/>
  <c r="H100" i="7"/>
  <c r="H103" i="7"/>
  <c r="H98" i="7"/>
  <c r="J16" i="18"/>
  <c r="H18" i="7"/>
  <c r="H22" i="7"/>
  <c r="H20" i="7"/>
  <c r="H29" i="7"/>
  <c r="H25" i="7"/>
  <c r="H26" i="7"/>
  <c r="H19" i="7"/>
  <c r="H24" i="7"/>
  <c r="A322" i="7"/>
  <c r="A277" i="7"/>
  <c r="E11" i="20"/>
  <c r="F6" i="20" s="1"/>
  <c r="J47" i="1" s="1"/>
  <c r="J31" i="18"/>
  <c r="L300" i="5"/>
  <c r="H212" i="5"/>
  <c r="E9" i="5" s="1"/>
  <c r="A186" i="7"/>
  <c r="E183" i="7"/>
  <c r="A96" i="7"/>
  <c r="J3" i="13"/>
  <c r="M3" i="13" s="1"/>
  <c r="L6" i="17"/>
  <c r="M6" i="17" s="1"/>
  <c r="L40" i="17"/>
  <c r="M40" i="17" s="1"/>
  <c r="L5" i="17"/>
  <c r="M5" i="17" s="1"/>
  <c r="L42" i="17"/>
  <c r="M42" i="17" s="1"/>
  <c r="L41" i="17"/>
  <c r="M41" i="17" s="1"/>
  <c r="E13" i="7"/>
  <c r="A165" i="7"/>
  <c r="E162" i="7"/>
  <c r="E8" i="6"/>
  <c r="E7" i="6"/>
  <c r="E6" i="6"/>
  <c r="G6" i="6" s="1"/>
  <c r="E5" i="6"/>
  <c r="J4" i="6"/>
  <c r="D28" i="6"/>
  <c r="D23" i="6"/>
  <c r="D17" i="6"/>
  <c r="D12" i="6"/>
  <c r="G7" i="6" l="1"/>
  <c r="F7" i="6"/>
  <c r="K70" i="7"/>
  <c r="M70" i="7" s="1"/>
  <c r="K147" i="7"/>
  <c r="M147" i="7" s="1"/>
  <c r="K128" i="7"/>
  <c r="M128" i="7" s="1"/>
  <c r="K65" i="7"/>
  <c r="M65" i="7" s="1"/>
  <c r="K46" i="7"/>
  <c r="M46" i="7" s="1"/>
  <c r="K143" i="7"/>
  <c r="M143" i="7" s="1"/>
  <c r="K142" i="7"/>
  <c r="M142" i="7" s="1"/>
  <c r="K138" i="7"/>
  <c r="M138" i="7" s="1"/>
  <c r="K81" i="7"/>
  <c r="M81" i="7" s="1"/>
  <c r="K82" i="7"/>
  <c r="M82" i="7" s="1"/>
  <c r="K85" i="7"/>
  <c r="M85" i="7" s="1"/>
  <c r="K112" i="7"/>
  <c r="M112" i="7" s="1"/>
  <c r="K135" i="7"/>
  <c r="M135" i="7" s="1"/>
  <c r="K155" i="7"/>
  <c r="M155" i="7" s="1"/>
  <c r="K156" i="7"/>
  <c r="M156" i="7" s="1"/>
  <c r="K141" i="7"/>
  <c r="M141" i="7" s="1"/>
  <c r="K157" i="7"/>
  <c r="M157" i="7" s="1"/>
  <c r="K151" i="7"/>
  <c r="M151" i="7" s="1"/>
  <c r="K152" i="7"/>
  <c r="M152" i="7" s="1"/>
  <c r="K124" i="7"/>
  <c r="M124" i="7" s="1"/>
  <c r="K148" i="7"/>
  <c r="M148" i="7" s="1"/>
  <c r="K126" i="7"/>
  <c r="M126" i="7" s="1"/>
  <c r="K127" i="7"/>
  <c r="M127" i="7" s="1"/>
  <c r="K120" i="7"/>
  <c r="M120" i="7" s="1"/>
  <c r="K129" i="7"/>
  <c r="M129" i="7" s="1"/>
  <c r="K125" i="7"/>
  <c r="M125" i="7" s="1"/>
  <c r="K144" i="7"/>
  <c r="M144" i="7" s="1"/>
  <c r="K121" i="7"/>
  <c r="M121" i="7" s="1"/>
  <c r="K117" i="7"/>
  <c r="M117" i="7" s="1"/>
  <c r="K116" i="7"/>
  <c r="M116" i="7" s="1"/>
  <c r="K115" i="7"/>
  <c r="M115" i="7" s="1"/>
  <c r="K114" i="7"/>
  <c r="M114" i="7" s="1"/>
  <c r="K113" i="7"/>
  <c r="M113" i="7" s="1"/>
  <c r="K71" i="7"/>
  <c r="M71" i="7" s="1"/>
  <c r="K109" i="7"/>
  <c r="M109" i="7" s="1"/>
  <c r="K41" i="7"/>
  <c r="M41" i="7" s="1"/>
  <c r="K68" i="7"/>
  <c r="M68" i="7" s="1"/>
  <c r="K51" i="7"/>
  <c r="M51" i="7" s="1"/>
  <c r="K73" i="7"/>
  <c r="M73" i="7" s="1"/>
  <c r="K69" i="7"/>
  <c r="M69" i="7" s="1"/>
  <c r="K44" i="7"/>
  <c r="M44" i="7" s="1"/>
  <c r="K55" i="7"/>
  <c r="M55" i="7" s="1"/>
  <c r="K54" i="7"/>
  <c r="M54" i="7" s="1"/>
  <c r="K66" i="7"/>
  <c r="M66" i="7" s="1"/>
  <c r="K56" i="7"/>
  <c r="M56" i="7" s="1"/>
  <c r="K57" i="7"/>
  <c r="M57" i="7" s="1"/>
  <c r="K47" i="7"/>
  <c r="M47" i="7" s="1"/>
  <c r="K40" i="7"/>
  <c r="M40" i="7" s="1"/>
  <c r="K62" i="7"/>
  <c r="M62" i="7" s="1"/>
  <c r="K64" i="7"/>
  <c r="M64" i="7" s="1"/>
  <c r="K63" i="7"/>
  <c r="M63" i="7" s="1"/>
  <c r="K61" i="7"/>
  <c r="M61" i="7" s="1"/>
  <c r="K58" i="7"/>
  <c r="M58" i="7" s="1"/>
  <c r="K50" i="7"/>
  <c r="M50" i="7" s="1"/>
  <c r="K45" i="7"/>
  <c r="M45" i="7" s="1"/>
  <c r="K32" i="7"/>
  <c r="M32" i="7" s="1"/>
  <c r="K30" i="7"/>
  <c r="M30" i="7" s="1"/>
  <c r="K31" i="7"/>
  <c r="M31" i="7" s="1"/>
  <c r="K88" i="7"/>
  <c r="M88" i="7" s="1"/>
  <c r="K33" i="7"/>
  <c r="M33" i="7" s="1"/>
  <c r="K78" i="7"/>
  <c r="M78" i="7" s="1"/>
  <c r="K77" i="7"/>
  <c r="M77" i="7" s="1"/>
  <c r="K27" i="7"/>
  <c r="M27" i="7" s="1"/>
  <c r="K28" i="7"/>
  <c r="M28" i="7" s="1"/>
  <c r="J16" i="1"/>
  <c r="K96" i="7"/>
  <c r="K23" i="7"/>
  <c r="K21" i="7"/>
  <c r="K100" i="7"/>
  <c r="K101" i="7"/>
  <c r="K98" i="7"/>
  <c r="K103" i="7"/>
  <c r="K102" i="7"/>
  <c r="K99" i="7"/>
  <c r="K18" i="7"/>
  <c r="K19" i="7"/>
  <c r="K25" i="7"/>
  <c r="K29" i="7"/>
  <c r="K22" i="7"/>
  <c r="K26" i="7"/>
  <c r="K20" i="7"/>
  <c r="K24" i="7"/>
  <c r="M25" i="17"/>
  <c r="M39" i="17"/>
  <c r="M43" i="17" s="1"/>
  <c r="M7" i="17"/>
  <c r="H357" i="7"/>
  <c r="H349" i="7"/>
  <c r="H312" i="7"/>
  <c r="H304" i="7"/>
  <c r="H295" i="7"/>
  <c r="H287" i="7"/>
  <c r="H279" i="7"/>
  <c r="H347" i="7"/>
  <c r="H289" i="7"/>
  <c r="H342" i="7"/>
  <c r="H334" i="7"/>
  <c r="H326" i="7"/>
  <c r="H315" i="7"/>
  <c r="H307" i="7"/>
  <c r="H298" i="7"/>
  <c r="H290" i="7"/>
  <c r="H282" i="7"/>
  <c r="H363" i="7"/>
  <c r="H340" i="7"/>
  <c r="H309" i="7"/>
  <c r="H359" i="7"/>
  <c r="H351" i="7"/>
  <c r="H318" i="7"/>
  <c r="H310" i="7"/>
  <c r="H302" i="7"/>
  <c r="H293" i="7"/>
  <c r="H285" i="7"/>
  <c r="H297" i="7"/>
  <c r="H284" i="7"/>
  <c r="H345" i="7"/>
  <c r="H336" i="7"/>
  <c r="H328" i="7"/>
  <c r="H313" i="7"/>
  <c r="H305" i="7"/>
  <c r="H296" i="7"/>
  <c r="H288" i="7"/>
  <c r="H280" i="7"/>
  <c r="H355" i="7"/>
  <c r="H306" i="7"/>
  <c r="H361" i="7"/>
  <c r="H353" i="7"/>
  <c r="H316" i="7"/>
  <c r="H308" i="7"/>
  <c r="H300" i="7"/>
  <c r="H291" i="7"/>
  <c r="H283" i="7"/>
  <c r="H281" i="7"/>
  <c r="H332" i="7"/>
  <c r="H338" i="7"/>
  <c r="H330" i="7"/>
  <c r="H319" i="7"/>
  <c r="H311" i="7"/>
  <c r="H303" i="7"/>
  <c r="H294" i="7"/>
  <c r="H286" i="7"/>
  <c r="H324" i="7"/>
  <c r="H314" i="7"/>
  <c r="H317" i="7"/>
  <c r="H301" i="7"/>
  <c r="H292" i="7"/>
  <c r="G42" i="6"/>
  <c r="G41" i="6"/>
  <c r="I342" i="7"/>
  <c r="I334" i="7"/>
  <c r="I326" i="7"/>
  <c r="I315" i="7"/>
  <c r="I307" i="7"/>
  <c r="I298" i="7"/>
  <c r="I290" i="7"/>
  <c r="I282" i="7"/>
  <c r="I317" i="7"/>
  <c r="I301" i="7"/>
  <c r="I292" i="7"/>
  <c r="I284" i="7"/>
  <c r="I359" i="7"/>
  <c r="I351" i="7"/>
  <c r="I318" i="7"/>
  <c r="I310" i="7"/>
  <c r="I302" i="7"/>
  <c r="I293" i="7"/>
  <c r="I285" i="7"/>
  <c r="I340" i="7"/>
  <c r="I345" i="7"/>
  <c r="I336" i="7"/>
  <c r="I328" i="7"/>
  <c r="I313" i="7"/>
  <c r="I305" i="7"/>
  <c r="I296" i="7"/>
  <c r="I288" i="7"/>
  <c r="I280" i="7"/>
  <c r="I357" i="7"/>
  <c r="I349" i="7"/>
  <c r="I361" i="7"/>
  <c r="I353" i="7"/>
  <c r="I316" i="7"/>
  <c r="I308" i="7"/>
  <c r="I300" i="7"/>
  <c r="I291" i="7"/>
  <c r="I283" i="7"/>
  <c r="I312" i="7"/>
  <c r="I338" i="7"/>
  <c r="I330" i="7"/>
  <c r="I319" i="7"/>
  <c r="I311" i="7"/>
  <c r="I303" i="7"/>
  <c r="I294" i="7"/>
  <c r="I286" i="7"/>
  <c r="I332" i="7"/>
  <c r="I363" i="7"/>
  <c r="I355" i="7"/>
  <c r="I347" i="7"/>
  <c r="I324" i="7"/>
  <c r="I314" i="7"/>
  <c r="I306" i="7"/>
  <c r="I297" i="7"/>
  <c r="I289" i="7"/>
  <c r="I281" i="7"/>
  <c r="I309" i="7"/>
  <c r="I304" i="7"/>
  <c r="I295" i="7"/>
  <c r="I287" i="7"/>
  <c r="I279" i="7"/>
  <c r="L9" i="12"/>
  <c r="M9" i="12" s="1"/>
  <c r="L5" i="13"/>
  <c r="L6" i="13"/>
  <c r="G30" i="6"/>
  <c r="G31" i="6"/>
  <c r="G32" i="6"/>
  <c r="I5" i="18"/>
  <c r="I4" i="18"/>
  <c r="H220" i="7"/>
  <c r="H212" i="7"/>
  <c r="H200" i="7"/>
  <c r="H192" i="7"/>
  <c r="H231" i="7"/>
  <c r="H226" i="7"/>
  <c r="H218" i="7"/>
  <c r="H210" i="7"/>
  <c r="H198" i="7"/>
  <c r="H190" i="7"/>
  <c r="H134" i="7"/>
  <c r="H87" i="7"/>
  <c r="H60" i="7"/>
  <c r="H254" i="7"/>
  <c r="H191" i="7"/>
  <c r="H268" i="7"/>
  <c r="H260" i="7"/>
  <c r="H249" i="7"/>
  <c r="H241" i="7"/>
  <c r="H233" i="7"/>
  <c r="H221" i="7"/>
  <c r="H213" i="7"/>
  <c r="H201" i="7"/>
  <c r="H193" i="7"/>
  <c r="H154" i="7"/>
  <c r="H137" i="7"/>
  <c r="H119" i="7"/>
  <c r="H39" i="7"/>
  <c r="H219" i="7"/>
  <c r="H211" i="7"/>
  <c r="H199" i="7"/>
  <c r="H175" i="7"/>
  <c r="H252" i="7"/>
  <c r="H224" i="7"/>
  <c r="H216" i="7"/>
  <c r="H208" i="7"/>
  <c r="H204" i="7"/>
  <c r="H196" i="7"/>
  <c r="H188" i="7"/>
  <c r="H166" i="7"/>
  <c r="H43" i="7"/>
  <c r="H270" i="7"/>
  <c r="H262" i="7"/>
  <c r="H243" i="7"/>
  <c r="H235" i="7"/>
  <c r="H258" i="7"/>
  <c r="H247" i="7"/>
  <c r="H225" i="7"/>
  <c r="H205" i="7"/>
  <c r="H140" i="7"/>
  <c r="H123" i="7"/>
  <c r="H108" i="7"/>
  <c r="H178" i="7"/>
  <c r="H215" i="7"/>
  <c r="H195" i="7"/>
  <c r="H150" i="7"/>
  <c r="H237" i="7"/>
  <c r="H214" i="7"/>
  <c r="H194" i="7"/>
  <c r="H80" i="7"/>
  <c r="H49" i="7"/>
  <c r="H111" i="7"/>
  <c r="H264" i="7"/>
  <c r="H239" i="7"/>
  <c r="H222" i="7"/>
  <c r="H207" i="7"/>
  <c r="H202" i="7"/>
  <c r="H187" i="7"/>
  <c r="H146" i="7"/>
  <c r="H131" i="7"/>
  <c r="H84" i="7"/>
  <c r="H53" i="7"/>
  <c r="H209" i="7"/>
  <c r="H189" i="7"/>
  <c r="H266" i="7"/>
  <c r="H256" i="7"/>
  <c r="H223" i="7"/>
  <c r="H197" i="7"/>
  <c r="H167" i="7"/>
  <c r="H217" i="7"/>
  <c r="H186" i="7"/>
  <c r="H16" i="7"/>
  <c r="H245" i="7"/>
  <c r="H203" i="7"/>
  <c r="H76" i="7"/>
  <c r="H165" i="7"/>
  <c r="I266" i="7"/>
  <c r="I258" i="7"/>
  <c r="I247" i="7"/>
  <c r="I239" i="7"/>
  <c r="I223" i="7"/>
  <c r="I215" i="7"/>
  <c r="I207" i="7"/>
  <c r="K207" i="7" s="1"/>
  <c r="M207" i="7" s="1"/>
  <c r="M227" i="7" s="1"/>
  <c r="I203" i="7"/>
  <c r="I195" i="7"/>
  <c r="I187" i="7"/>
  <c r="I268" i="7"/>
  <c r="I260" i="7"/>
  <c r="I249" i="7"/>
  <c r="I241" i="7"/>
  <c r="I233" i="7"/>
  <c r="I221" i="7"/>
  <c r="I213" i="7"/>
  <c r="I201" i="7"/>
  <c r="I193" i="7"/>
  <c r="I154" i="7"/>
  <c r="I137" i="7"/>
  <c r="I119" i="7"/>
  <c r="I39" i="7"/>
  <c r="I194" i="7"/>
  <c r="I186" i="7"/>
  <c r="K186" i="7" s="1"/>
  <c r="M186" i="7" s="1"/>
  <c r="M206" i="7" s="1"/>
  <c r="I252" i="7"/>
  <c r="I224" i="7"/>
  <c r="I216" i="7"/>
  <c r="I208" i="7"/>
  <c r="I204" i="7"/>
  <c r="I196" i="7"/>
  <c r="I188" i="7"/>
  <c r="I169" i="7"/>
  <c r="I166" i="7"/>
  <c r="I43" i="7"/>
  <c r="I222" i="7"/>
  <c r="I214" i="7"/>
  <c r="I202" i="7"/>
  <c r="I270" i="7"/>
  <c r="I262" i="7"/>
  <c r="I254" i="7"/>
  <c r="I243" i="7"/>
  <c r="I235" i="7"/>
  <c r="I219" i="7"/>
  <c r="I211" i="7"/>
  <c r="I199" i="7"/>
  <c r="I191" i="7"/>
  <c r="I175" i="7"/>
  <c r="I140" i="7"/>
  <c r="I123" i="7"/>
  <c r="I76" i="7"/>
  <c r="I237" i="7"/>
  <c r="I212" i="7"/>
  <c r="I192" i="7"/>
  <c r="I80" i="7"/>
  <c r="I49" i="7"/>
  <c r="I220" i="7"/>
  <c r="I200" i="7"/>
  <c r="I146" i="7"/>
  <c r="I134" i="7"/>
  <c r="I84" i="7"/>
  <c r="I53" i="7"/>
  <c r="I217" i="7"/>
  <c r="I197" i="7"/>
  <c r="I165" i="7"/>
  <c r="I218" i="7"/>
  <c r="I198" i="7"/>
  <c r="I178" i="7"/>
  <c r="I170" i="7"/>
  <c r="I111" i="7"/>
  <c r="I264" i="7"/>
  <c r="I131" i="7"/>
  <c r="I226" i="7"/>
  <c r="I209" i="7"/>
  <c r="I189" i="7"/>
  <c r="I150" i="7"/>
  <c r="I256" i="7"/>
  <c r="I245" i="7"/>
  <c r="I167" i="7"/>
  <c r="I87" i="7"/>
  <c r="I60" i="7"/>
  <c r="I231" i="7"/>
  <c r="I225" i="7"/>
  <c r="I210" i="7"/>
  <c r="I16" i="7"/>
  <c r="I108" i="7"/>
  <c r="I205" i="7"/>
  <c r="I190" i="7"/>
  <c r="K150" i="7" l="1"/>
  <c r="M150" i="7" s="1"/>
  <c r="K154" i="7"/>
  <c r="M154" i="7" s="1"/>
  <c r="K140" i="7"/>
  <c r="M140" i="7" s="1"/>
  <c r="K146" i="7"/>
  <c r="M146" i="7" s="1"/>
  <c r="K137" i="7"/>
  <c r="M137" i="7" s="1"/>
  <c r="K119" i="7"/>
  <c r="M119" i="7" s="1"/>
  <c r="K131" i="7"/>
  <c r="M131" i="7" s="1"/>
  <c r="K123" i="7"/>
  <c r="M123" i="7" s="1"/>
  <c r="K111" i="7"/>
  <c r="M111" i="7" s="1"/>
  <c r="F32" i="1"/>
  <c r="J32" i="1" s="1"/>
  <c r="N7" i="17"/>
  <c r="K167" i="7"/>
  <c r="M167" i="7" s="1"/>
  <c r="K43" i="7"/>
  <c r="M43" i="7" s="1"/>
  <c r="K49" i="7"/>
  <c r="M49" i="7" s="1"/>
  <c r="K60" i="7"/>
  <c r="M60" i="7" s="1"/>
  <c r="K53" i="7"/>
  <c r="M53" i="7" s="1"/>
  <c r="K87" i="7"/>
  <c r="M87" i="7" s="1"/>
  <c r="K80" i="7"/>
  <c r="M80" i="7" s="1"/>
  <c r="K84" i="7"/>
  <c r="M84" i="7" s="1"/>
  <c r="K175" i="7"/>
  <c r="M175" i="7" s="1"/>
  <c r="M177" i="7" s="1"/>
  <c r="K300" i="7"/>
  <c r="M300" i="7" s="1"/>
  <c r="M320" i="7" s="1"/>
  <c r="K279" i="7"/>
  <c r="M279" i="7" s="1"/>
  <c r="M299" i="7" s="1"/>
  <c r="C9" i="7"/>
  <c r="M96" i="7"/>
  <c r="M6" i="13"/>
  <c r="N6" i="13" s="1"/>
  <c r="M5" i="13"/>
  <c r="M21" i="7"/>
  <c r="M23" i="7"/>
  <c r="M101" i="7"/>
  <c r="M99" i="7"/>
  <c r="M103" i="7"/>
  <c r="M100" i="7"/>
  <c r="M102" i="7"/>
  <c r="M98" i="7"/>
  <c r="H18" i="18"/>
  <c r="H19" i="18"/>
  <c r="H17" i="18"/>
  <c r="H16" i="18"/>
  <c r="K166" i="7"/>
  <c r="H14" i="18"/>
  <c r="H15" i="18"/>
  <c r="H13" i="18"/>
  <c r="H12" i="18"/>
  <c r="K170" i="7"/>
  <c r="K169" i="7"/>
  <c r="K165" i="7"/>
  <c r="M165" i="7" s="1"/>
  <c r="M18" i="7"/>
  <c r="M24" i="7"/>
  <c r="M20" i="7"/>
  <c r="M26" i="7"/>
  <c r="M22" i="7"/>
  <c r="M29" i="7"/>
  <c r="M25" i="7"/>
  <c r="M19" i="7"/>
  <c r="M10" i="12"/>
  <c r="K345" i="7"/>
  <c r="M345" i="7" s="1"/>
  <c r="M365" i="7" s="1"/>
  <c r="G40" i="6"/>
  <c r="G46" i="6" s="1"/>
  <c r="I46" i="6"/>
  <c r="K324" i="7"/>
  <c r="M324" i="7" s="1"/>
  <c r="M344" i="7" s="1"/>
  <c r="H9" i="18"/>
  <c r="K16" i="7"/>
  <c r="I21" i="6"/>
  <c r="I17" i="6" s="1"/>
  <c r="B6" i="6" s="1"/>
  <c r="K108" i="7"/>
  <c r="M108" i="7" s="1"/>
  <c r="I26" i="6"/>
  <c r="I23" i="6" s="1"/>
  <c r="B7" i="6" s="1"/>
  <c r="G15" i="6"/>
  <c r="G36" i="6"/>
  <c r="K178" i="7"/>
  <c r="M178" i="7" s="1"/>
  <c r="M180" i="7" s="1"/>
  <c r="K76" i="7"/>
  <c r="M76" i="7" s="1"/>
  <c r="K252" i="7"/>
  <c r="M252" i="7" s="1"/>
  <c r="M272" i="7" s="1"/>
  <c r="I36" i="6"/>
  <c r="I15" i="6"/>
  <c r="H10" i="18"/>
  <c r="H24" i="18"/>
  <c r="H22" i="18"/>
  <c r="H25" i="18"/>
  <c r="H21" i="18"/>
  <c r="H31" i="18"/>
  <c r="J20" i="1" s="1"/>
  <c r="H23" i="18"/>
  <c r="H26" i="18"/>
  <c r="K134" i="7"/>
  <c r="M134" i="7" s="1"/>
  <c r="K39" i="7"/>
  <c r="M39" i="7" s="1"/>
  <c r="K231" i="7"/>
  <c r="M231" i="7" s="1"/>
  <c r="M251" i="7" s="1"/>
  <c r="B9" i="7" s="1"/>
  <c r="D6" i="6" l="1"/>
  <c r="C6" i="6"/>
  <c r="F6" i="6" s="1"/>
  <c r="D7" i="6"/>
  <c r="C7" i="6"/>
  <c r="F15" i="1"/>
  <c r="J15" i="1" s="1"/>
  <c r="N10" i="12"/>
  <c r="M159" i="7"/>
  <c r="M133" i="7"/>
  <c r="M90" i="7"/>
  <c r="M75" i="7"/>
  <c r="M104" i="7"/>
  <c r="M34" i="7"/>
  <c r="C10" i="7"/>
  <c r="B10" i="7"/>
  <c r="M97" i="7"/>
  <c r="M7" i="13"/>
  <c r="N5" i="13"/>
  <c r="M169" i="7"/>
  <c r="M170" i="7"/>
  <c r="M166" i="7"/>
  <c r="M16" i="7"/>
  <c r="D9" i="7"/>
  <c r="F9" i="7" s="1"/>
  <c r="I38" i="6"/>
  <c r="B9" i="6" s="1"/>
  <c r="C9" i="6" s="1"/>
  <c r="Q51" i="8"/>
  <c r="Q50" i="8"/>
  <c r="Q49" i="8"/>
  <c r="Q48" i="8"/>
  <c r="I28" i="6"/>
  <c r="B8" i="6" s="1"/>
  <c r="C8" i="6" s="1"/>
  <c r="I12" i="6"/>
  <c r="B5" i="6" s="1"/>
  <c r="J25" i="18"/>
  <c r="J23" i="18"/>
  <c r="H193" i="5"/>
  <c r="G192" i="5"/>
  <c r="G191" i="5"/>
  <c r="G190" i="5"/>
  <c r="G189" i="5"/>
  <c r="G188" i="5"/>
  <c r="H187" i="5"/>
  <c r="G186" i="5"/>
  <c r="G185" i="5"/>
  <c r="G184" i="5"/>
  <c r="G183" i="5"/>
  <c r="G182" i="5"/>
  <c r="H181" i="5"/>
  <c r="G180" i="5"/>
  <c r="G179" i="5"/>
  <c r="G178" i="5"/>
  <c r="G177" i="5"/>
  <c r="G176" i="5"/>
  <c r="H175" i="5"/>
  <c r="G174" i="5"/>
  <c r="G173" i="5"/>
  <c r="G172" i="5"/>
  <c r="G171" i="5"/>
  <c r="G170" i="5"/>
  <c r="H169" i="5"/>
  <c r="G168" i="5"/>
  <c r="G167" i="5"/>
  <c r="G166" i="5"/>
  <c r="G165" i="5"/>
  <c r="G164" i="5"/>
  <c r="G157" i="5"/>
  <c r="G156" i="5"/>
  <c r="G155" i="5"/>
  <c r="G154" i="5"/>
  <c r="G153" i="5"/>
  <c r="G152" i="5"/>
  <c r="H151" i="5"/>
  <c r="G150" i="5"/>
  <c r="G149" i="5"/>
  <c r="G148" i="5"/>
  <c r="G147" i="5"/>
  <c r="G146" i="5"/>
  <c r="G145" i="5"/>
  <c r="H144" i="5"/>
  <c r="G143" i="5"/>
  <c r="G142" i="5"/>
  <c r="G141" i="5"/>
  <c r="G140" i="5"/>
  <c r="G139" i="5"/>
  <c r="G138" i="5"/>
  <c r="H137" i="5"/>
  <c r="G136" i="5"/>
  <c r="G135" i="5"/>
  <c r="G134" i="5"/>
  <c r="G133" i="5"/>
  <c r="G132" i="5"/>
  <c r="G131" i="5"/>
  <c r="H130" i="5"/>
  <c r="G129" i="5"/>
  <c r="G128" i="5"/>
  <c r="G127" i="5"/>
  <c r="G126" i="5"/>
  <c r="G125" i="5"/>
  <c r="G124" i="5"/>
  <c r="H123" i="5"/>
  <c r="G122" i="5"/>
  <c r="G121" i="5"/>
  <c r="G120" i="5"/>
  <c r="G119" i="5"/>
  <c r="G118" i="5"/>
  <c r="G117" i="5"/>
  <c r="H116" i="5"/>
  <c r="G115" i="5"/>
  <c r="G114" i="5"/>
  <c r="G113" i="5"/>
  <c r="G112" i="5"/>
  <c r="G111" i="5"/>
  <c r="G110" i="5"/>
  <c r="G105" i="5"/>
  <c r="G104" i="5"/>
  <c r="H88" i="5"/>
  <c r="G87" i="5"/>
  <c r="H81" i="5"/>
  <c r="G80" i="5"/>
  <c r="H60" i="5"/>
  <c r="G59" i="5"/>
  <c r="H34" i="5"/>
  <c r="G33" i="5"/>
  <c r="I176" i="5"/>
  <c r="J176" i="5" s="1"/>
  <c r="A1" i="1"/>
  <c r="J50" i="1"/>
  <c r="J49" i="1"/>
  <c r="H33" i="1"/>
  <c r="H31" i="1"/>
  <c r="H27" i="1"/>
  <c r="H24" i="1"/>
  <c r="I36" i="1"/>
  <c r="H36" i="1"/>
  <c r="I33" i="1"/>
  <c r="D32" i="1"/>
  <c r="D25" i="1"/>
  <c r="D22" i="1"/>
  <c r="H18" i="1"/>
  <c r="D5" i="6" l="1"/>
  <c r="G5" i="6" s="1"/>
  <c r="C5" i="6"/>
  <c r="F5" i="6" s="1"/>
  <c r="F10" i="6" s="1"/>
  <c r="J25" i="23" s="1"/>
  <c r="F25" i="1"/>
  <c r="N7" i="13"/>
  <c r="C7" i="7"/>
  <c r="B7" i="7"/>
  <c r="M171" i="7"/>
  <c r="C8" i="7" s="1"/>
  <c r="D10" i="7"/>
  <c r="F10" i="7" s="1"/>
  <c r="C6" i="7"/>
  <c r="M168" i="7"/>
  <c r="B8" i="7" s="1"/>
  <c r="M17" i="7"/>
  <c r="B6" i="7" s="1"/>
  <c r="G181" i="5"/>
  <c r="K176" i="5" s="1"/>
  <c r="L176" i="5" s="1"/>
  <c r="M61" i="8"/>
  <c r="M60" i="8"/>
  <c r="M59" i="8"/>
  <c r="M58" i="8"/>
  <c r="Q56" i="8"/>
  <c r="Q53" i="8"/>
  <c r="Q55" i="8"/>
  <c r="Q54" i="8"/>
  <c r="G8" i="6"/>
  <c r="G9" i="6"/>
  <c r="G137" i="5"/>
  <c r="I131" i="5" s="1"/>
  <c r="J131" i="5" s="1"/>
  <c r="Q61" i="8"/>
  <c r="Q60" i="8"/>
  <c r="Q59" i="8"/>
  <c r="Q58" i="8"/>
  <c r="G175" i="5"/>
  <c r="K170" i="5" s="1"/>
  <c r="G187" i="5"/>
  <c r="K182" i="5" s="1"/>
  <c r="G123" i="5"/>
  <c r="I117" i="5" s="1"/>
  <c r="J117" i="5" s="1"/>
  <c r="G60" i="5"/>
  <c r="K59" i="5" s="1"/>
  <c r="G88" i="5"/>
  <c r="K87" i="5" s="1"/>
  <c r="G116" i="5"/>
  <c r="I110" i="5" s="1"/>
  <c r="J110" i="5" s="1"/>
  <c r="G169" i="5"/>
  <c r="K164" i="5" s="1"/>
  <c r="G34" i="5"/>
  <c r="K33" i="5" s="1"/>
  <c r="G130" i="5"/>
  <c r="I124" i="5" s="1"/>
  <c r="J124" i="5" s="1"/>
  <c r="G158" i="5"/>
  <c r="I152" i="5" s="1"/>
  <c r="J152" i="5" s="1"/>
  <c r="G193" i="5"/>
  <c r="K188" i="5" s="1"/>
  <c r="G151" i="5"/>
  <c r="I145" i="5" s="1"/>
  <c r="J145" i="5" s="1"/>
  <c r="G81" i="5"/>
  <c r="I80" i="5" s="1"/>
  <c r="J80" i="5" s="1"/>
  <c r="G144" i="5"/>
  <c r="I138" i="5" s="1"/>
  <c r="J138" i="5" s="1"/>
  <c r="J28" i="1"/>
  <c r="G103" i="5"/>
  <c r="H103" i="5" s="1"/>
  <c r="G96" i="5"/>
  <c r="H96" i="5" s="1"/>
  <c r="I182" i="5"/>
  <c r="J182" i="5" s="1"/>
  <c r="G15" i="5"/>
  <c r="H15" i="5" s="1"/>
  <c r="G97" i="5"/>
  <c r="H97" i="5" s="1"/>
  <c r="G99" i="5"/>
  <c r="H99" i="5" s="1"/>
  <c r="G100" i="5"/>
  <c r="H100" i="5" s="1"/>
  <c r="G101" i="5"/>
  <c r="H101" i="5" s="1"/>
  <c r="I87" i="5"/>
  <c r="J87" i="5" s="1"/>
  <c r="G16" i="5"/>
  <c r="H16" i="5" s="1"/>
  <c r="I164" i="5"/>
  <c r="J164" i="5" s="1"/>
  <c r="I33" i="5"/>
  <c r="J33" i="5" s="1"/>
  <c r="G98" i="5"/>
  <c r="H98" i="5" s="1"/>
  <c r="G102" i="5"/>
  <c r="H102" i="5" s="1"/>
  <c r="I170" i="5"/>
  <c r="J170" i="5" s="1"/>
  <c r="I188" i="5"/>
  <c r="J188" i="5" s="1"/>
  <c r="I59" i="5"/>
  <c r="J59" i="5" s="1"/>
  <c r="J51" i="1"/>
  <c r="J55" i="1" s="1"/>
  <c r="J56" i="1" s="1"/>
  <c r="H29" i="1"/>
  <c r="I37" i="1"/>
  <c r="I29" i="1"/>
  <c r="H37" i="1"/>
  <c r="A3" i="1"/>
  <c r="D5" i="1"/>
  <c r="D4" i="1"/>
  <c r="D3" i="1"/>
  <c r="D2" i="1"/>
  <c r="A5" i="1"/>
  <c r="A4" i="1"/>
  <c r="A2" i="1"/>
  <c r="A2" i="4"/>
  <c r="Q45" i="8" l="1"/>
  <c r="J25" i="1"/>
  <c r="Q46" i="8"/>
  <c r="Q43" i="8"/>
  <c r="Q44" i="8"/>
  <c r="D7" i="7"/>
  <c r="F7" i="7" s="1"/>
  <c r="J36" i="1"/>
  <c r="C11" i="7"/>
  <c r="B11" i="7"/>
  <c r="D6" i="7"/>
  <c r="F6" i="7" s="1"/>
  <c r="D8" i="7"/>
  <c r="J24" i="1"/>
  <c r="P5" i="21"/>
  <c r="G10" i="6"/>
  <c r="J26" i="23" s="1"/>
  <c r="H18" i="5"/>
  <c r="E5" i="5" s="1"/>
  <c r="J28" i="5"/>
  <c r="F5" i="5" s="1"/>
  <c r="J159" i="5"/>
  <c r="L170" i="5"/>
  <c r="J18" i="1"/>
  <c r="L182" i="5"/>
  <c r="L33" i="5"/>
  <c r="L87" i="5"/>
  <c r="L164" i="5"/>
  <c r="J54" i="5"/>
  <c r="F6" i="5" s="1"/>
  <c r="J82" i="5"/>
  <c r="F7" i="5" s="1"/>
  <c r="L59" i="5"/>
  <c r="L188" i="5"/>
  <c r="H44" i="5"/>
  <c r="E6" i="5" s="1"/>
  <c r="H106" i="5"/>
  <c r="E8" i="5" s="1"/>
  <c r="H76" i="5"/>
  <c r="E7" i="5" s="1"/>
  <c r="I38" i="1"/>
  <c r="H38" i="1"/>
  <c r="F8" i="7" l="1"/>
  <c r="F11" i="7" s="1"/>
  <c r="D11" i="7"/>
  <c r="L61" i="5"/>
  <c r="G6" i="5" s="1"/>
  <c r="L194" i="5"/>
  <c r="J27" i="1"/>
  <c r="J29" i="1" s="1"/>
  <c r="L89" i="5"/>
  <c r="L35" i="5"/>
  <c r="F10" i="5"/>
  <c r="E10" i="5"/>
  <c r="I7" i="1"/>
  <c r="R5" i="21" s="1"/>
  <c r="M41" i="23" l="1"/>
  <c r="F32" i="23"/>
  <c r="J33" i="1"/>
  <c r="J37" i="1" s="1"/>
  <c r="J38" i="1" s="1"/>
  <c r="M40" i="23" l="1"/>
  <c r="M36" i="23"/>
  <c r="M38" i="23"/>
  <c r="M39" i="23"/>
  <c r="O5" i="21"/>
  <c r="G5" i="5"/>
  <c r="G10" i="5" s="1"/>
  <c r="H5" i="5" s="1"/>
  <c r="J32" i="23" l="1"/>
  <c r="J34" i="23"/>
  <c r="F27" i="23"/>
  <c r="J27" i="23" l="1"/>
  <c r="J31" i="23" s="1"/>
  <c r="J37" i="23" l="1"/>
  <c r="J9" i="1" s="1"/>
  <c r="J36" i="23"/>
  <c r="K5" i="21"/>
  <c r="J38" i="23" l="1"/>
  <c r="L5" i="21"/>
  <c r="F9" i="1" l="1"/>
  <c r="J10" i="1"/>
  <c r="J57" i="1" s="1"/>
  <c r="N5" i="21" l="1"/>
  <c r="Q5" i="21" s="1"/>
  <c r="J7" i="1"/>
</calcChain>
</file>

<file path=xl/comments1.xml><?xml version="1.0" encoding="utf-8"?>
<comments xmlns="http://schemas.openxmlformats.org/spreadsheetml/2006/main">
  <authors>
    <author>이명행</author>
  </authors>
  <commentList>
    <comment ref="C37" authorId="0" shapeId="0">
      <text>
        <r>
          <rPr>
            <b/>
            <sz val="9"/>
            <color indexed="81"/>
            <rFont val="돋움"/>
            <family val="3"/>
            <charset val="129"/>
          </rPr>
          <t>대표사만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</text>
    </comment>
    <comment ref="C39" authorId="0" shapeId="0">
      <text>
        <r>
          <rPr>
            <b/>
            <sz val="9"/>
            <color indexed="81"/>
            <rFont val="돋움"/>
            <family val="3"/>
            <charset val="129"/>
          </rPr>
          <t>대표사만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</text>
    </comment>
    <comment ref="C41" authorId="0" shapeId="0">
      <text>
        <r>
          <rPr>
            <b/>
            <sz val="9"/>
            <color indexed="81"/>
            <rFont val="돋움"/>
            <family val="3"/>
            <charset val="129"/>
          </rPr>
          <t>대표사만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</text>
    </comment>
  </commentList>
</comments>
</file>

<file path=xl/comments10.xml><?xml version="1.0" encoding="utf-8"?>
<comments xmlns="http://schemas.openxmlformats.org/spreadsheetml/2006/main">
  <authors>
    <author>lh</author>
  </authors>
  <commentList>
    <comment ref="G5" authorId="0" shapeId="0">
      <text>
        <r>
          <rPr>
            <b/>
            <sz val="9"/>
            <color indexed="81"/>
            <rFont val="돋움"/>
            <family val="3"/>
            <charset val="129"/>
          </rPr>
          <t>경력확인서의 공사종류
-아파트</t>
        </r>
      </text>
    </comment>
    <comment ref="H5" authorId="0" shapeId="0">
      <text>
        <r>
          <rPr>
            <b/>
            <sz val="9"/>
            <color indexed="81"/>
            <rFont val="돋움"/>
            <family val="3"/>
            <charset val="129"/>
          </rPr>
          <t>경력확인서의 담당업무
-건설사업관리(감독권한대행)
-건설사업관리(감독권한대행 이외)
-공사감독(발주청)
-현장대리인
-시공
-공무
-품질 등</t>
        </r>
      </text>
    </comment>
    <comment ref="G30" authorId="0" shapeId="0">
      <text>
        <r>
          <rPr>
            <b/>
            <sz val="9"/>
            <color indexed="81"/>
            <rFont val="돋움"/>
            <family val="3"/>
            <charset val="129"/>
          </rPr>
          <t>경력확인서의 공사종류
-아파트</t>
        </r>
      </text>
    </comment>
    <comment ref="H30" authorId="0" shapeId="0">
      <text>
        <r>
          <rPr>
            <b/>
            <sz val="9"/>
            <color indexed="81"/>
            <rFont val="돋움"/>
            <family val="3"/>
            <charset val="129"/>
          </rPr>
          <t>경력확인서의
담당업무
-건설사업관리(감독권한대행)
-건설사업관리(감독권한대행 이외)
-공사감독(발주청)</t>
        </r>
      </text>
    </comment>
    <comment ref="G40" authorId="0" shapeId="0">
      <text>
        <r>
          <rPr>
            <b/>
            <sz val="9"/>
            <color indexed="81"/>
            <rFont val="돋움"/>
            <family val="3"/>
            <charset val="129"/>
          </rPr>
          <t>도로공사</t>
        </r>
      </text>
    </comment>
    <comment ref="H40" authorId="0" shapeId="0">
      <text>
        <r>
          <rPr>
            <b/>
            <sz val="9"/>
            <color indexed="81"/>
            <rFont val="돋움"/>
            <family val="3"/>
            <charset val="129"/>
          </rPr>
          <t>발주청에서 발주한 도로공사
-상주감리
-공사감독</t>
        </r>
      </text>
    </comment>
  </commentList>
</comments>
</file>

<file path=xl/comments2.xml><?xml version="1.0" encoding="utf-8"?>
<comments xmlns="http://schemas.openxmlformats.org/spreadsheetml/2006/main">
  <authors>
    <author>lh</author>
  </authors>
  <commentList>
    <comment ref="F17" authorId="0" shapeId="0">
      <text>
        <r>
          <rPr>
            <b/>
            <sz val="9"/>
            <color indexed="81"/>
            <rFont val="돋움"/>
            <family val="3"/>
            <charset val="129"/>
          </rPr>
          <t>기술자격입력
-건축사
-기술사
-기사
-산업기사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5" authorId="0" shapeId="0">
      <text>
        <r>
          <rPr>
            <b/>
            <sz val="9"/>
            <color indexed="81"/>
            <rFont val="돋움"/>
            <family val="3"/>
            <charset val="129"/>
          </rPr>
          <t>주공종기술자격입력
-건축사
-기술사
-기사
-산업기사</t>
        </r>
      </text>
    </comment>
  </commentList>
</comments>
</file>

<file path=xl/comments3.xml><?xml version="1.0" encoding="utf-8"?>
<comments xmlns="http://schemas.openxmlformats.org/spreadsheetml/2006/main">
  <authors>
    <author>lh</author>
  </authors>
  <commentList>
    <comment ref="H4" authorId="0" shapeId="0">
      <text>
        <r>
          <rPr>
            <b/>
            <sz val="12"/>
            <color indexed="81"/>
            <rFont val="돋움"/>
            <family val="3"/>
            <charset val="129"/>
          </rPr>
          <t>신고 또는 미신고</t>
        </r>
      </text>
    </comment>
  </commentList>
</comments>
</file>

<file path=xl/comments4.xml><?xml version="1.0" encoding="utf-8"?>
<comments xmlns="http://schemas.openxmlformats.org/spreadsheetml/2006/main">
  <authors>
    <author>이명행</author>
    <author>LH</author>
  </authors>
  <commentList>
    <comment ref="E13" authorId="0" shapeId="0">
      <text>
        <r>
          <rPr>
            <b/>
            <sz val="9"/>
            <color indexed="81"/>
            <rFont val="돋움"/>
            <family val="3"/>
            <charset val="129"/>
          </rPr>
          <t>직전</t>
        </r>
        <r>
          <rPr>
            <b/>
            <sz val="9"/>
            <color indexed="81"/>
            <rFont val="Tahoma"/>
            <family val="2"/>
          </rPr>
          <t xml:space="preserve"> 3</t>
        </r>
        <r>
          <rPr>
            <b/>
            <sz val="9"/>
            <color indexed="81"/>
            <rFont val="돋움"/>
            <family val="3"/>
            <charset val="129"/>
          </rPr>
          <t>개년도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평가결과</t>
        </r>
      </text>
    </comment>
    <comment ref="F13" authorId="1" shapeId="0">
      <text>
        <r>
          <rPr>
            <b/>
            <sz val="16"/>
            <color indexed="81"/>
            <rFont val="Tahoma"/>
            <family val="2"/>
          </rPr>
          <t xml:space="preserve">LH </t>
        </r>
        <r>
          <rPr>
            <b/>
            <sz val="16"/>
            <color indexed="81"/>
            <rFont val="돋움"/>
            <family val="3"/>
            <charset val="129"/>
          </rPr>
          <t>공정심사처</t>
        </r>
        <r>
          <rPr>
            <b/>
            <sz val="16"/>
            <color indexed="81"/>
            <rFont val="Tahoma"/>
            <family val="2"/>
          </rPr>
          <t xml:space="preserve"> :
</t>
        </r>
        <r>
          <rPr>
            <sz val="16"/>
            <color indexed="81"/>
            <rFont val="돋움"/>
            <family val="3"/>
            <charset val="129"/>
          </rPr>
          <t>한국건설기술관리협회에서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발급한</t>
        </r>
        <r>
          <rPr>
            <sz val="16"/>
            <color indexed="81"/>
            <rFont val="Tahoma"/>
            <family val="2"/>
          </rPr>
          <t xml:space="preserve"> 
</t>
        </r>
        <r>
          <rPr>
            <b/>
            <sz val="16"/>
            <color indexed="81"/>
            <rFont val="Tahoma"/>
            <family val="2"/>
          </rPr>
          <t>'</t>
        </r>
        <r>
          <rPr>
            <b/>
            <sz val="16"/>
            <color indexed="81"/>
            <rFont val="돋움"/>
            <family val="3"/>
            <charset val="129"/>
          </rPr>
          <t>건설기술용역</t>
        </r>
        <r>
          <rPr>
            <b/>
            <sz val="16"/>
            <color indexed="81"/>
            <rFont val="Tahoma"/>
            <family val="2"/>
          </rPr>
          <t xml:space="preserve"> </t>
        </r>
        <r>
          <rPr>
            <b/>
            <sz val="16"/>
            <color indexed="81"/>
            <rFont val="돋움"/>
            <family val="3"/>
            <charset val="129"/>
          </rPr>
          <t>실적</t>
        </r>
        <r>
          <rPr>
            <b/>
            <sz val="16"/>
            <color indexed="81"/>
            <rFont val="Tahoma"/>
            <family val="2"/>
          </rPr>
          <t xml:space="preserve"> </t>
        </r>
        <r>
          <rPr>
            <b/>
            <sz val="16"/>
            <color indexed="81"/>
            <rFont val="돋움"/>
            <family val="3"/>
            <charset val="129"/>
          </rPr>
          <t>확인서</t>
        </r>
        <r>
          <rPr>
            <b/>
            <sz val="16"/>
            <color indexed="81"/>
            <rFont val="Tahoma"/>
            <family val="2"/>
          </rPr>
          <t>'</t>
        </r>
        <r>
          <rPr>
            <b/>
            <sz val="16"/>
            <color indexed="81"/>
            <rFont val="돋움"/>
            <family val="3"/>
            <charset val="129"/>
          </rPr>
          <t>의</t>
        </r>
        <r>
          <rPr>
            <b/>
            <sz val="16"/>
            <color indexed="81"/>
            <rFont val="Tahoma"/>
            <family val="2"/>
          </rPr>
          <t xml:space="preserve"> </t>
        </r>
        <r>
          <rPr>
            <b/>
            <sz val="16"/>
            <color indexed="81"/>
            <rFont val="돋움"/>
            <family val="3"/>
            <charset val="129"/>
          </rPr>
          <t>용역비</t>
        </r>
        <r>
          <rPr>
            <sz val="16"/>
            <color indexed="81"/>
            <rFont val="돋움"/>
            <family val="3"/>
            <charset val="129"/>
          </rPr>
          <t>를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기입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</text>
    </comment>
    <comment ref="F18" authorId="1" shapeId="0">
      <text>
        <r>
          <rPr>
            <b/>
            <sz val="16"/>
            <color indexed="81"/>
            <rFont val="Tahoma"/>
            <family val="2"/>
          </rPr>
          <t xml:space="preserve">LH </t>
        </r>
        <r>
          <rPr>
            <b/>
            <sz val="16"/>
            <color indexed="81"/>
            <rFont val="돋움"/>
            <family val="3"/>
            <charset val="129"/>
          </rPr>
          <t>기술심사처</t>
        </r>
        <r>
          <rPr>
            <b/>
            <sz val="16"/>
            <color indexed="81"/>
            <rFont val="Tahoma"/>
            <family val="2"/>
          </rPr>
          <t xml:space="preserve"> :
</t>
        </r>
        <r>
          <rPr>
            <sz val="16"/>
            <color indexed="81"/>
            <rFont val="돋움"/>
            <family val="3"/>
            <charset val="129"/>
          </rPr>
          <t>한국건설기술관리협회에서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발급한</t>
        </r>
        <r>
          <rPr>
            <sz val="16"/>
            <color indexed="81"/>
            <rFont val="Tahoma"/>
            <family val="2"/>
          </rPr>
          <t xml:space="preserve"> 
</t>
        </r>
        <r>
          <rPr>
            <b/>
            <sz val="16"/>
            <color indexed="81"/>
            <rFont val="Tahoma"/>
            <family val="2"/>
          </rPr>
          <t>'</t>
        </r>
        <r>
          <rPr>
            <b/>
            <sz val="16"/>
            <color indexed="81"/>
            <rFont val="돋움"/>
            <family val="3"/>
            <charset val="129"/>
          </rPr>
          <t>건설기술용역</t>
        </r>
        <r>
          <rPr>
            <b/>
            <sz val="16"/>
            <color indexed="81"/>
            <rFont val="Tahoma"/>
            <family val="2"/>
          </rPr>
          <t xml:space="preserve"> </t>
        </r>
        <r>
          <rPr>
            <b/>
            <sz val="16"/>
            <color indexed="81"/>
            <rFont val="돋움"/>
            <family val="3"/>
            <charset val="129"/>
          </rPr>
          <t>실적</t>
        </r>
        <r>
          <rPr>
            <b/>
            <sz val="16"/>
            <color indexed="81"/>
            <rFont val="Tahoma"/>
            <family val="2"/>
          </rPr>
          <t xml:space="preserve"> </t>
        </r>
        <r>
          <rPr>
            <b/>
            <sz val="16"/>
            <color indexed="81"/>
            <rFont val="돋움"/>
            <family val="3"/>
            <charset val="129"/>
          </rPr>
          <t>확인서</t>
        </r>
        <r>
          <rPr>
            <b/>
            <sz val="16"/>
            <color indexed="81"/>
            <rFont val="Tahoma"/>
            <family val="2"/>
          </rPr>
          <t>'</t>
        </r>
        <r>
          <rPr>
            <b/>
            <sz val="16"/>
            <color indexed="81"/>
            <rFont val="돋움"/>
            <family val="3"/>
            <charset val="129"/>
          </rPr>
          <t>의</t>
        </r>
        <r>
          <rPr>
            <b/>
            <sz val="16"/>
            <color indexed="81"/>
            <rFont val="Tahoma"/>
            <family val="2"/>
          </rPr>
          <t xml:space="preserve"> </t>
        </r>
        <r>
          <rPr>
            <b/>
            <sz val="16"/>
            <color indexed="81"/>
            <rFont val="돋움"/>
            <family val="3"/>
            <charset val="129"/>
          </rPr>
          <t>용역비</t>
        </r>
        <r>
          <rPr>
            <sz val="16"/>
            <color indexed="81"/>
            <rFont val="돋움"/>
            <family val="3"/>
            <charset val="129"/>
          </rPr>
          <t>를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기입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</text>
    </comment>
    <comment ref="F24" authorId="1" shapeId="0">
      <text>
        <r>
          <rPr>
            <b/>
            <sz val="16"/>
            <color indexed="81"/>
            <rFont val="Tahoma"/>
            <family val="2"/>
          </rPr>
          <t xml:space="preserve">LH </t>
        </r>
        <r>
          <rPr>
            <b/>
            <sz val="16"/>
            <color indexed="81"/>
            <rFont val="돋움"/>
            <family val="3"/>
            <charset val="129"/>
          </rPr>
          <t>기술심사처</t>
        </r>
        <r>
          <rPr>
            <b/>
            <sz val="16"/>
            <color indexed="81"/>
            <rFont val="Tahoma"/>
            <family val="2"/>
          </rPr>
          <t xml:space="preserve"> :
</t>
        </r>
        <r>
          <rPr>
            <sz val="16"/>
            <color indexed="81"/>
            <rFont val="돋움"/>
            <family val="3"/>
            <charset val="129"/>
          </rPr>
          <t>한국건설기술관리협회에서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발급한</t>
        </r>
        <r>
          <rPr>
            <sz val="16"/>
            <color indexed="81"/>
            <rFont val="Tahoma"/>
            <family val="2"/>
          </rPr>
          <t xml:space="preserve"> 
</t>
        </r>
        <r>
          <rPr>
            <b/>
            <sz val="16"/>
            <color indexed="81"/>
            <rFont val="Tahoma"/>
            <family val="2"/>
          </rPr>
          <t>'</t>
        </r>
        <r>
          <rPr>
            <b/>
            <sz val="16"/>
            <color indexed="81"/>
            <rFont val="돋움"/>
            <family val="3"/>
            <charset val="129"/>
          </rPr>
          <t>건설기술용역</t>
        </r>
        <r>
          <rPr>
            <b/>
            <sz val="16"/>
            <color indexed="81"/>
            <rFont val="Tahoma"/>
            <family val="2"/>
          </rPr>
          <t xml:space="preserve"> </t>
        </r>
        <r>
          <rPr>
            <b/>
            <sz val="16"/>
            <color indexed="81"/>
            <rFont val="돋움"/>
            <family val="3"/>
            <charset val="129"/>
          </rPr>
          <t>실적</t>
        </r>
        <r>
          <rPr>
            <b/>
            <sz val="16"/>
            <color indexed="81"/>
            <rFont val="Tahoma"/>
            <family val="2"/>
          </rPr>
          <t xml:space="preserve"> </t>
        </r>
        <r>
          <rPr>
            <b/>
            <sz val="16"/>
            <color indexed="81"/>
            <rFont val="돋움"/>
            <family val="3"/>
            <charset val="129"/>
          </rPr>
          <t>확인서</t>
        </r>
        <r>
          <rPr>
            <b/>
            <sz val="16"/>
            <color indexed="81"/>
            <rFont val="Tahoma"/>
            <family val="2"/>
          </rPr>
          <t>'</t>
        </r>
        <r>
          <rPr>
            <b/>
            <sz val="16"/>
            <color indexed="81"/>
            <rFont val="돋움"/>
            <family val="3"/>
            <charset val="129"/>
          </rPr>
          <t>의</t>
        </r>
        <r>
          <rPr>
            <b/>
            <sz val="16"/>
            <color indexed="81"/>
            <rFont val="Tahoma"/>
            <family val="2"/>
          </rPr>
          <t xml:space="preserve"> </t>
        </r>
        <r>
          <rPr>
            <b/>
            <sz val="16"/>
            <color indexed="81"/>
            <rFont val="돋움"/>
            <family val="3"/>
            <charset val="129"/>
          </rPr>
          <t>용역비</t>
        </r>
        <r>
          <rPr>
            <sz val="16"/>
            <color indexed="81"/>
            <rFont val="돋움"/>
            <family val="3"/>
            <charset val="129"/>
          </rPr>
          <t>를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기입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</text>
    </comment>
    <comment ref="F29" authorId="1" shapeId="0">
      <text>
        <r>
          <rPr>
            <b/>
            <sz val="16"/>
            <color indexed="81"/>
            <rFont val="Tahoma"/>
            <family val="2"/>
          </rPr>
          <t xml:space="preserve">LH </t>
        </r>
        <r>
          <rPr>
            <b/>
            <sz val="16"/>
            <color indexed="81"/>
            <rFont val="돋움"/>
            <family val="3"/>
            <charset val="129"/>
          </rPr>
          <t>기술심사처</t>
        </r>
        <r>
          <rPr>
            <b/>
            <sz val="16"/>
            <color indexed="81"/>
            <rFont val="Tahoma"/>
            <family val="2"/>
          </rPr>
          <t xml:space="preserve"> :
</t>
        </r>
        <r>
          <rPr>
            <sz val="16"/>
            <color indexed="81"/>
            <rFont val="돋움"/>
            <family val="3"/>
            <charset val="129"/>
          </rPr>
          <t>한국건설기술관리협회에서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발급한</t>
        </r>
        <r>
          <rPr>
            <sz val="16"/>
            <color indexed="81"/>
            <rFont val="Tahoma"/>
            <family val="2"/>
          </rPr>
          <t xml:space="preserve"> 
</t>
        </r>
        <r>
          <rPr>
            <b/>
            <sz val="16"/>
            <color indexed="81"/>
            <rFont val="Tahoma"/>
            <family val="2"/>
          </rPr>
          <t>'</t>
        </r>
        <r>
          <rPr>
            <b/>
            <sz val="16"/>
            <color indexed="81"/>
            <rFont val="돋움"/>
            <family val="3"/>
            <charset val="129"/>
          </rPr>
          <t>건설기술용역</t>
        </r>
        <r>
          <rPr>
            <b/>
            <sz val="16"/>
            <color indexed="81"/>
            <rFont val="Tahoma"/>
            <family val="2"/>
          </rPr>
          <t xml:space="preserve"> </t>
        </r>
        <r>
          <rPr>
            <b/>
            <sz val="16"/>
            <color indexed="81"/>
            <rFont val="돋움"/>
            <family val="3"/>
            <charset val="129"/>
          </rPr>
          <t>실적</t>
        </r>
        <r>
          <rPr>
            <b/>
            <sz val="16"/>
            <color indexed="81"/>
            <rFont val="Tahoma"/>
            <family val="2"/>
          </rPr>
          <t xml:space="preserve"> </t>
        </r>
        <r>
          <rPr>
            <b/>
            <sz val="16"/>
            <color indexed="81"/>
            <rFont val="돋움"/>
            <family val="3"/>
            <charset val="129"/>
          </rPr>
          <t>확인서</t>
        </r>
        <r>
          <rPr>
            <b/>
            <sz val="16"/>
            <color indexed="81"/>
            <rFont val="Tahoma"/>
            <family val="2"/>
          </rPr>
          <t>'</t>
        </r>
        <r>
          <rPr>
            <b/>
            <sz val="16"/>
            <color indexed="81"/>
            <rFont val="돋움"/>
            <family val="3"/>
            <charset val="129"/>
          </rPr>
          <t>의</t>
        </r>
        <r>
          <rPr>
            <b/>
            <sz val="16"/>
            <color indexed="81"/>
            <rFont val="Tahoma"/>
            <family val="2"/>
          </rPr>
          <t xml:space="preserve"> </t>
        </r>
        <r>
          <rPr>
            <b/>
            <sz val="16"/>
            <color indexed="81"/>
            <rFont val="돋움"/>
            <family val="3"/>
            <charset val="129"/>
          </rPr>
          <t>용역비</t>
        </r>
        <r>
          <rPr>
            <sz val="16"/>
            <color indexed="81"/>
            <rFont val="돋움"/>
            <family val="3"/>
            <charset val="129"/>
          </rPr>
          <t>를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기입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</text>
    </comment>
    <comment ref="F39" authorId="1" shapeId="0">
      <text>
        <r>
          <rPr>
            <b/>
            <sz val="16"/>
            <color indexed="81"/>
            <rFont val="Tahoma"/>
            <family val="2"/>
          </rPr>
          <t xml:space="preserve">LH </t>
        </r>
        <r>
          <rPr>
            <b/>
            <sz val="16"/>
            <color indexed="81"/>
            <rFont val="돋움"/>
            <family val="3"/>
            <charset val="129"/>
          </rPr>
          <t>공정심사처</t>
        </r>
        <r>
          <rPr>
            <b/>
            <sz val="16"/>
            <color indexed="81"/>
            <rFont val="Tahoma"/>
            <family val="2"/>
          </rPr>
          <t xml:space="preserve"> :
</t>
        </r>
        <r>
          <rPr>
            <sz val="16"/>
            <color indexed="81"/>
            <rFont val="돋움"/>
            <family val="3"/>
            <charset val="129"/>
          </rPr>
          <t>한국건설기술관리협회에서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발급한</t>
        </r>
        <r>
          <rPr>
            <sz val="16"/>
            <color indexed="81"/>
            <rFont val="Tahoma"/>
            <family val="2"/>
          </rPr>
          <t xml:space="preserve"> 
</t>
        </r>
        <r>
          <rPr>
            <b/>
            <sz val="16"/>
            <color indexed="81"/>
            <rFont val="Tahoma"/>
            <family val="2"/>
          </rPr>
          <t>'</t>
        </r>
        <r>
          <rPr>
            <b/>
            <sz val="16"/>
            <color indexed="81"/>
            <rFont val="돋움"/>
            <family val="3"/>
            <charset val="129"/>
          </rPr>
          <t>건설기술용역</t>
        </r>
        <r>
          <rPr>
            <b/>
            <sz val="16"/>
            <color indexed="81"/>
            <rFont val="Tahoma"/>
            <family val="2"/>
          </rPr>
          <t xml:space="preserve"> </t>
        </r>
        <r>
          <rPr>
            <b/>
            <sz val="16"/>
            <color indexed="81"/>
            <rFont val="돋움"/>
            <family val="3"/>
            <charset val="129"/>
          </rPr>
          <t>실적</t>
        </r>
        <r>
          <rPr>
            <b/>
            <sz val="16"/>
            <color indexed="81"/>
            <rFont val="Tahoma"/>
            <family val="2"/>
          </rPr>
          <t xml:space="preserve"> </t>
        </r>
        <r>
          <rPr>
            <b/>
            <sz val="16"/>
            <color indexed="81"/>
            <rFont val="돋움"/>
            <family val="3"/>
            <charset val="129"/>
          </rPr>
          <t>확인서</t>
        </r>
        <r>
          <rPr>
            <b/>
            <sz val="16"/>
            <color indexed="81"/>
            <rFont val="Tahoma"/>
            <family val="2"/>
          </rPr>
          <t>'</t>
        </r>
        <r>
          <rPr>
            <b/>
            <sz val="16"/>
            <color indexed="81"/>
            <rFont val="돋움"/>
            <family val="3"/>
            <charset val="129"/>
          </rPr>
          <t>의</t>
        </r>
        <r>
          <rPr>
            <b/>
            <sz val="16"/>
            <color indexed="81"/>
            <rFont val="Tahoma"/>
            <family val="2"/>
          </rPr>
          <t xml:space="preserve"> </t>
        </r>
        <r>
          <rPr>
            <b/>
            <sz val="16"/>
            <color indexed="81"/>
            <rFont val="돋움"/>
            <family val="3"/>
            <charset val="129"/>
          </rPr>
          <t>용역비</t>
        </r>
        <r>
          <rPr>
            <sz val="16"/>
            <color indexed="81"/>
            <rFont val="돋움"/>
            <family val="3"/>
            <charset val="129"/>
          </rPr>
          <t>를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기입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lh</author>
  </authors>
  <commentList>
    <comment ref="F38" authorId="0" shapeId="0">
      <text>
        <r>
          <rPr>
            <b/>
            <sz val="11"/>
            <color indexed="81"/>
            <rFont val="돋움"/>
            <family val="3"/>
            <charset val="129"/>
          </rPr>
          <t xml:space="preserve">예) 공고일 2000. 10. 10일
- 공고일로부터 3년이내 기간
  1997. 10. 10일 - 2000. 10. 9일
- 차수별기성수행기간
  1997. 9. 10 - 1997. 11. 10일 경우
  아래와 같이 입력
- 시작일 : 1997.  9. 10
- 종료일 : 1997. 11. 10
</t>
        </r>
      </text>
    </comment>
    <comment ref="G38" authorId="0" shapeId="0">
      <text>
        <r>
          <rPr>
            <b/>
            <sz val="11"/>
            <color indexed="81"/>
            <rFont val="돋움"/>
            <family val="3"/>
            <charset val="129"/>
          </rPr>
          <t xml:space="preserve">한국건설감리협회 발행 감리용역수행현황의 
차수별기성 중 수행 또는 계약기간의 만료일이 입찰공고일로부터 3년이내의 기간에 부분포함되는 차수별기성의 수행종료일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42" authorId="0" shapeId="0">
      <text>
        <r>
          <rPr>
            <b/>
            <sz val="36"/>
            <color indexed="81"/>
            <rFont val="돋움"/>
            <family val="3"/>
            <charset val="129"/>
          </rPr>
          <t>2</t>
        </r>
      </text>
    </comment>
    <comment ref="L76" authorId="0" shapeId="0">
      <text>
        <r>
          <rPr>
            <b/>
            <sz val="10"/>
            <color indexed="81"/>
            <rFont val="돋움"/>
            <family val="3"/>
            <charset val="129"/>
          </rPr>
          <t>입찰공고일로 부터 3년이내의 기간에 걸처있는 차수별기성금액 입력</t>
        </r>
      </text>
    </comment>
    <comment ref="G107" authorId="0" shapeId="0">
      <text>
        <r>
          <rPr>
            <b/>
            <sz val="11"/>
            <color indexed="81"/>
            <rFont val="돋움"/>
            <family val="3"/>
            <charset val="129"/>
          </rPr>
          <t>한국건설감리협회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발행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감리용역수행현황의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최종기성분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수행완료일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74" authorId="0" shapeId="0">
      <text>
        <r>
          <rPr>
            <b/>
            <sz val="11"/>
            <color indexed="81"/>
            <rFont val="돋움"/>
            <family val="3"/>
            <charset val="129"/>
          </rPr>
          <t>한국건설감리협회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발행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감리용역수행현황의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최종기성분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수행완료일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30" authorId="0" shapeId="0">
      <text>
        <r>
          <rPr>
            <b/>
            <sz val="11"/>
            <color indexed="81"/>
            <rFont val="돋움"/>
            <family val="3"/>
            <charset val="129"/>
          </rPr>
          <t>한국건설감리협회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발행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감리용역수행현황의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최종기성분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수행완료일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23" authorId="0" shapeId="0">
      <text>
        <r>
          <rPr>
            <b/>
            <sz val="11"/>
            <color indexed="81"/>
            <rFont val="돋움"/>
            <family val="3"/>
            <charset val="129"/>
          </rPr>
          <t>한국건설감리협회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발행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감리용역수행현황의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최종기성분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수행완료일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lh</author>
    <author>LH</author>
  </authors>
  <commentList>
    <comment ref="F8" authorId="0" shapeId="0">
      <text>
        <r>
          <rPr>
            <b/>
            <sz val="9"/>
            <color indexed="81"/>
            <rFont val="돋움"/>
            <family val="3"/>
            <charset val="129"/>
          </rPr>
          <t>과업내용서의 요구등급기입
(아래 내용으로 입력 바람)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돋움"/>
            <family val="3"/>
            <charset val="129"/>
          </rPr>
          <t>-특급
-고급이상
-중급이상
-초급이상
-초급이상,중급이하</t>
        </r>
      </text>
    </comment>
    <comment ref="G8" authorId="1" shapeId="0">
      <text>
        <r>
          <rPr>
            <b/>
            <sz val="9"/>
            <color indexed="81"/>
            <rFont val="돋움"/>
            <family val="3"/>
            <charset val="129"/>
          </rPr>
          <t>아래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기재
</t>
        </r>
        <r>
          <rPr>
            <b/>
            <sz val="9"/>
            <color indexed="81"/>
            <rFont val="Tahoma"/>
            <family val="2"/>
          </rPr>
          <t>-</t>
        </r>
        <r>
          <rPr>
            <b/>
            <sz val="9"/>
            <color indexed="81"/>
            <rFont val="돋움"/>
            <family val="3"/>
            <charset val="129"/>
          </rPr>
          <t xml:space="preserve">기술사
</t>
        </r>
        <r>
          <rPr>
            <b/>
            <sz val="9"/>
            <color indexed="81"/>
            <rFont val="Tahoma"/>
            <family val="2"/>
          </rPr>
          <t>-</t>
        </r>
        <r>
          <rPr>
            <b/>
            <sz val="9"/>
            <color indexed="81"/>
            <rFont val="돋움"/>
            <family val="3"/>
            <charset val="129"/>
          </rPr>
          <t xml:space="preserve">특급
</t>
        </r>
        <r>
          <rPr>
            <b/>
            <sz val="9"/>
            <color indexed="81"/>
            <rFont val="Tahoma"/>
            <family val="2"/>
          </rPr>
          <t>-</t>
        </r>
        <r>
          <rPr>
            <b/>
            <sz val="9"/>
            <color indexed="81"/>
            <rFont val="돋움"/>
            <family val="3"/>
            <charset val="129"/>
          </rPr>
          <t xml:space="preserve">고급
</t>
        </r>
        <r>
          <rPr>
            <b/>
            <sz val="9"/>
            <color indexed="81"/>
            <rFont val="Tahoma"/>
            <family val="2"/>
          </rPr>
          <t>-</t>
        </r>
        <r>
          <rPr>
            <b/>
            <sz val="9"/>
            <color indexed="81"/>
            <rFont val="돋움"/>
            <family val="3"/>
            <charset val="129"/>
          </rPr>
          <t xml:space="preserve">중급
</t>
        </r>
        <r>
          <rPr>
            <b/>
            <sz val="9"/>
            <color indexed="81"/>
            <rFont val="Tahoma"/>
            <family val="2"/>
          </rPr>
          <t>-</t>
        </r>
        <r>
          <rPr>
            <b/>
            <sz val="9"/>
            <color indexed="81"/>
            <rFont val="돋움"/>
            <family val="3"/>
            <charset val="129"/>
          </rPr>
          <t>초급</t>
        </r>
      </text>
    </comment>
  </commentList>
</comments>
</file>

<file path=xl/comments7.xml><?xml version="1.0" encoding="utf-8"?>
<comments xmlns="http://schemas.openxmlformats.org/spreadsheetml/2006/main">
  <authors>
    <author>lh</author>
  </authors>
  <commentList>
    <comment ref="H9" authorId="0" shapeId="0">
      <text>
        <r>
          <rPr>
            <b/>
            <sz val="9"/>
            <color indexed="81"/>
            <rFont val="돋움"/>
            <family val="3"/>
            <charset val="129"/>
          </rPr>
          <t>경력확인서의 담당업무
-건설사업관리(감독권한대행)
-건설사업관리(감독권한대행 이외)
-공사감독(발주청)
-현장대리인
-시공
-공무
-품질 등</t>
        </r>
      </text>
    </comment>
  </commentList>
</comments>
</file>

<file path=xl/comments8.xml><?xml version="1.0" encoding="utf-8"?>
<comments xmlns="http://schemas.openxmlformats.org/spreadsheetml/2006/main">
  <authors>
    <author>lh</author>
  </authors>
  <commentList>
    <comment ref="G5" authorId="0" shapeId="0">
      <text>
        <r>
          <rPr>
            <b/>
            <sz val="9"/>
            <color indexed="81"/>
            <rFont val="돋움"/>
            <family val="3"/>
            <charset val="129"/>
          </rPr>
          <t>경력확인서의 공사종류
-아파트</t>
        </r>
      </text>
    </comment>
    <comment ref="H5" authorId="0" shapeId="0">
      <text>
        <r>
          <rPr>
            <b/>
            <sz val="9"/>
            <color indexed="81"/>
            <rFont val="돋움"/>
            <family val="3"/>
            <charset val="129"/>
          </rPr>
          <t>경력확인서의 담당업무
-건설사업관리(감독권한대행)
-건설사업관리(감독권한대행 이외)
-공사감독(발주청)
-현장대리인
-시공
-공무
-품질 등</t>
        </r>
      </text>
    </comment>
  </commentList>
</comments>
</file>

<file path=xl/comments9.xml><?xml version="1.0" encoding="utf-8"?>
<comments xmlns="http://schemas.openxmlformats.org/spreadsheetml/2006/main">
  <authors>
    <author>lh</author>
  </authors>
  <commentList>
    <comment ref="G5" authorId="0" shapeId="0">
      <text>
        <r>
          <rPr>
            <b/>
            <sz val="9"/>
            <color indexed="81"/>
            <rFont val="돋움"/>
            <family val="3"/>
            <charset val="129"/>
          </rPr>
          <t>경력확인서의 공사종류
-아파트</t>
        </r>
      </text>
    </comment>
    <comment ref="H5" authorId="0" shapeId="0">
      <text>
        <r>
          <rPr>
            <b/>
            <sz val="9"/>
            <color indexed="81"/>
            <rFont val="돋움"/>
            <family val="3"/>
            <charset val="129"/>
          </rPr>
          <t>경력확인서의 담당업무
-건설사업관리(감독권한대행)
-건설사업관리(감독권한대행 이외)
-공사감독(발주청)
-시공 등</t>
        </r>
      </text>
    </comment>
  </commentList>
</comments>
</file>

<file path=xl/sharedStrings.xml><?xml version="1.0" encoding="utf-8"?>
<sst xmlns="http://schemas.openxmlformats.org/spreadsheetml/2006/main" count="1457" uniqueCount="677">
  <si>
    <t xml:space="preserve">3. 평가부서에서는 업체에서 제출한 작성표를 근거로 관련 증빙자료 검증 후 점수를 조정할 수 있습니다. </t>
    <phoneticPr fontId="3" type="noConversion"/>
  </si>
  <si>
    <t xml:space="preserve">4. 엑셀수식오류 및 업체의 양식임의변경으로 발생될 수 있는 오류에 대하여는 당사에서 책임지지 않으니,     </t>
    <phoneticPr fontId="3" type="noConversion"/>
  </si>
  <si>
    <t xml:space="preserve"> </t>
    <phoneticPr fontId="3" type="noConversion"/>
  </si>
  <si>
    <t xml:space="preserve"> 수  신 : 한국토지주택공사 사장</t>
    <phoneticPr fontId="3" type="noConversion"/>
  </si>
  <si>
    <t xml:space="preserve">   용역명 : </t>
    <phoneticPr fontId="3" type="noConversion"/>
  </si>
  <si>
    <t xml:space="preserve">         ※ 제출서류가 사본인 경우 원본대조 확인 날인 필요</t>
    <phoneticPr fontId="3" type="noConversion"/>
  </si>
  <si>
    <t xml:space="preserve">회 사 명 : </t>
    <phoneticPr fontId="3" type="noConversion"/>
  </si>
  <si>
    <t xml:space="preserve">주    소 : </t>
    <phoneticPr fontId="3" type="noConversion"/>
  </si>
  <si>
    <t xml:space="preserve">대 표 자 : </t>
    <phoneticPr fontId="3" type="noConversion"/>
  </si>
  <si>
    <t>(인)</t>
    <phoneticPr fontId="3" type="noConversion"/>
  </si>
  <si>
    <t xml:space="preserve"> </t>
    <phoneticPr fontId="3" type="noConversion"/>
  </si>
  <si>
    <t xml:space="preserve">작 성 자 : </t>
    <phoneticPr fontId="3" type="noConversion"/>
  </si>
  <si>
    <t>한국토지주택공사 사장 귀하</t>
    <phoneticPr fontId="3" type="noConversion"/>
  </si>
  <si>
    <t>※ 본 양식에는 작성자의 편의를 도모하기 위해 자동수식이 일부 걸려있습니다.</t>
    <phoneticPr fontId="3" type="noConversion"/>
  </si>
  <si>
    <t xml:space="preserve">   프로그램 오류 등으로 출력값이 다를 경우 모든 책임은 확인하지 않은</t>
    <phoneticPr fontId="3" type="noConversion"/>
  </si>
  <si>
    <t xml:space="preserve">   용역업체에 있음을 알려드립니다.</t>
    <phoneticPr fontId="3" type="noConversion"/>
  </si>
  <si>
    <t>※ 용역업체에서는 산정한 평점과의 일치여부를 반드시 확인하시기 바랍니다.</t>
    <phoneticPr fontId="3" type="noConversion"/>
  </si>
  <si>
    <t xml:space="preserve">※ 자기평가평점이 80점이상인 용역업체를 가격입찰 참여 대상자로 선정합니다.     </t>
    <phoneticPr fontId="3" type="noConversion"/>
  </si>
  <si>
    <t>※ 평가점수계산은 별도표기 없는 한 소수점 2째자리로 하고 소수점 3째자리에서 
   반올림하며, 1개월은 30일, 1년은 365일로 합니다.</t>
    <phoneticPr fontId="3" type="noConversion"/>
  </si>
  <si>
    <t>※ 당해 용역에 있어 LH가 지정한 접수기간 내에 제안서 미표기 사항 및 평가에 
   필요한 증빙자료 미첨부 등에 대하여는 해당 평가 항목의 최저 점수로 
   평가합니다.</t>
    <phoneticPr fontId="3" type="noConversion"/>
  </si>
  <si>
    <t>※ 모든 증빙서류가 포함된 상태로 책자화(좌편철 A4 무선제본)하여 원본 1부와 
   EXCEL 2002 이상 프로그램으로 작성한 파일(증빙서류 포함)을 USB로 1부를
   제출합니다.</t>
    <phoneticPr fontId="3" type="noConversion"/>
  </si>
  <si>
    <t xml:space="preserve">※ 책자화하여 제출한 서류와 USB로 제출한 것이 서로 상이할 경우에는 책자화하여
   제출한 것에 우선하여 적용합니다. </t>
    <phoneticPr fontId="3" type="noConversion"/>
  </si>
  <si>
    <t xml:space="preserve">          다음 용역에 참여코자 종합기술제안서를 붙임과 같이 제출합니다.</t>
    <phoneticPr fontId="3" type="noConversion"/>
  </si>
  <si>
    <t>공동이행</t>
    <phoneticPr fontId="3" type="noConversion"/>
  </si>
  <si>
    <t>업체명</t>
    <phoneticPr fontId="3" type="noConversion"/>
  </si>
  <si>
    <t>지분율</t>
    <phoneticPr fontId="3" type="noConversion"/>
  </si>
  <si>
    <t>참여
인원수</t>
    <phoneticPr fontId="3" type="noConversion"/>
  </si>
  <si>
    <t>분담이행</t>
    <phoneticPr fontId="3" type="noConversion"/>
  </si>
  <si>
    <t>업체명</t>
    <phoneticPr fontId="3" type="noConversion"/>
  </si>
  <si>
    <t>업종</t>
    <phoneticPr fontId="3" type="noConversion"/>
  </si>
  <si>
    <t>주) 공동이행인 경우에는 업체명과 각 해당 지분율을 입력합니다.</t>
    <phoneticPr fontId="3" type="noConversion"/>
  </si>
  <si>
    <t>주) 공동이행이 아닌 경우에는 지분율 100%를 입력합니다.</t>
    <phoneticPr fontId="3" type="noConversion"/>
  </si>
  <si>
    <t>종합기술제안서 평가 참가업체</t>
    <phoneticPr fontId="3" type="noConversion"/>
  </si>
  <si>
    <t>공사비(과업내용서)</t>
  </si>
  <si>
    <t>입찰공고일</t>
    <phoneticPr fontId="3" type="noConversion"/>
  </si>
  <si>
    <t>평점합계</t>
    <phoneticPr fontId="3" type="noConversion"/>
  </si>
  <si>
    <t>항목</t>
  </si>
  <si>
    <t>세부항목</t>
  </si>
  <si>
    <t>평가내용</t>
  </si>
  <si>
    <t>실적 및 등급</t>
    <phoneticPr fontId="3" type="noConversion"/>
  </si>
  <si>
    <t>배점</t>
  </si>
  <si>
    <t>평점(업체)</t>
    <phoneticPr fontId="3" type="noConversion"/>
  </si>
  <si>
    <t>평점(LH)</t>
    <phoneticPr fontId="3" type="noConversion"/>
  </si>
  <si>
    <t>비고</t>
  </si>
  <si>
    <t>신용평가
등급</t>
    <phoneticPr fontId="3" type="noConversion"/>
  </si>
  <si>
    <t>소  계</t>
  </si>
  <si>
    <t>1000억</t>
    <phoneticPr fontId="3" type="noConversion"/>
  </si>
  <si>
    <t>500억</t>
    <phoneticPr fontId="3" type="noConversion"/>
  </si>
  <si>
    <t>* 아래부분 절대 작업금지</t>
    <phoneticPr fontId="3" type="noConversion"/>
  </si>
  <si>
    <t>등 급</t>
  </si>
  <si>
    <t>-</t>
  </si>
  <si>
    <t>직무분야 실적</t>
    <phoneticPr fontId="3" type="noConversion"/>
  </si>
  <si>
    <t>해당
분야
경력</t>
    <phoneticPr fontId="3" type="noConversion"/>
  </si>
  <si>
    <t>교육
훈련</t>
    <phoneticPr fontId="3" type="noConversion"/>
  </si>
  <si>
    <t>기술자격</t>
  </si>
  <si>
    <t>계</t>
  </si>
  <si>
    <t>분야별
기술자</t>
    <phoneticPr fontId="3" type="noConversion"/>
  </si>
  <si>
    <t>토목1</t>
    <phoneticPr fontId="3" type="noConversion"/>
  </si>
  <si>
    <t>안전</t>
    <phoneticPr fontId="3" type="noConversion"/>
  </si>
  <si>
    <t>-</t>
    <phoneticPr fontId="3" type="noConversion"/>
  </si>
  <si>
    <t>직무
분야
실적</t>
    <phoneticPr fontId="3" type="noConversion"/>
  </si>
  <si>
    <t>교육훈련</t>
    <phoneticPr fontId="3" type="noConversion"/>
  </si>
  <si>
    <t> 계</t>
  </si>
  <si>
    <t>소  계</t>
    <phoneticPr fontId="3" type="noConversion"/>
  </si>
  <si>
    <t>기술자격(주공종)</t>
  </si>
  <si>
    <t>기술사</t>
    <phoneticPr fontId="3" type="noConversion"/>
  </si>
  <si>
    <t>1. 관리역량 합계</t>
    <phoneticPr fontId="2" type="noConversion"/>
  </si>
  <si>
    <t>사회적책임</t>
    <phoneticPr fontId="3" type="noConversion"/>
  </si>
  <si>
    <t>(감점)공정거래</t>
    <phoneticPr fontId="3" type="noConversion"/>
  </si>
  <si>
    <t>평가관련 신뢰도</t>
    <phoneticPr fontId="2" type="noConversion"/>
  </si>
  <si>
    <t>(감점)비리 및 부정행위</t>
    <phoneticPr fontId="2" type="noConversion"/>
  </si>
  <si>
    <t>(감점)제안서 규격위반</t>
    <phoneticPr fontId="2" type="noConversion"/>
  </si>
  <si>
    <t>총  합  계</t>
    <phoneticPr fontId="2" type="noConversion"/>
  </si>
  <si>
    <t>참여사</t>
    <phoneticPr fontId="3" type="noConversion"/>
  </si>
  <si>
    <t>지분율</t>
    <phoneticPr fontId="3" type="noConversion"/>
  </si>
  <si>
    <t>개발실적</t>
    <phoneticPr fontId="3" type="noConversion"/>
  </si>
  <si>
    <t>활용실적</t>
    <phoneticPr fontId="3" type="noConversion"/>
  </si>
  <si>
    <t>점수</t>
    <phoneticPr fontId="3" type="noConversion"/>
  </si>
  <si>
    <t>신기술</t>
    <phoneticPr fontId="3" type="noConversion"/>
  </si>
  <si>
    <t>특허</t>
    <phoneticPr fontId="3" type="noConversion"/>
  </si>
  <si>
    <t>계</t>
    <phoneticPr fontId="3" type="noConversion"/>
  </si>
  <si>
    <t>* 특허활용실적은 최대 1점인정</t>
    <phoneticPr fontId="3" type="noConversion"/>
  </si>
  <si>
    <t>신기술 개발실적</t>
    <phoneticPr fontId="30" type="noConversion"/>
  </si>
  <si>
    <t>입찰공고일</t>
    <phoneticPr fontId="3" type="noConversion"/>
  </si>
  <si>
    <t>종류</t>
  </si>
  <si>
    <t>지정번호</t>
    <phoneticPr fontId="3" type="noConversion"/>
  </si>
  <si>
    <t>기술명</t>
  </si>
  <si>
    <t>지정(출원)일</t>
    <phoneticPr fontId="30" type="noConversion"/>
  </si>
  <si>
    <t>보호기간
(만료일자)</t>
    <phoneticPr fontId="3" type="noConversion"/>
  </si>
  <si>
    <t>개발자수</t>
    <phoneticPr fontId="3" type="noConversion"/>
  </si>
  <si>
    <t>가중치</t>
    <phoneticPr fontId="3" type="noConversion"/>
  </si>
  <si>
    <t>점수</t>
    <phoneticPr fontId="3" type="noConversion"/>
  </si>
  <si>
    <t>신기술</t>
    <phoneticPr fontId="30" type="noConversion"/>
  </si>
  <si>
    <t>계</t>
    <phoneticPr fontId="30" type="noConversion"/>
  </si>
  <si>
    <t>신기술 활용실적</t>
    <phoneticPr fontId="30" type="noConversion"/>
  </si>
  <si>
    <t>입찰공고일</t>
    <phoneticPr fontId="3" type="noConversion"/>
  </si>
  <si>
    <t>활용년도</t>
    <phoneticPr fontId="3" type="noConversion"/>
  </si>
  <si>
    <t>용역(공사)명</t>
    <phoneticPr fontId="30" type="noConversion"/>
  </si>
  <si>
    <t>사용실적
참여지분율</t>
    <phoneticPr fontId="3" type="noConversion"/>
  </si>
  <si>
    <t>실적건수</t>
    <phoneticPr fontId="3" type="noConversion"/>
  </si>
  <si>
    <t>실적금액
(억원)</t>
    <phoneticPr fontId="3" type="noConversion"/>
  </si>
  <si>
    <t>실적건수와 금액 중에서 한가지 이상을 충족시켜야함</t>
    <phoneticPr fontId="3" type="noConversion"/>
  </si>
  <si>
    <t>소계</t>
    <phoneticPr fontId="3" type="noConversion"/>
  </si>
  <si>
    <t>계</t>
    <phoneticPr fontId="30" type="noConversion"/>
  </si>
  <si>
    <t>특허 활용실적</t>
    <phoneticPr fontId="30" type="noConversion"/>
  </si>
  <si>
    <t>등록번호</t>
    <phoneticPr fontId="3" type="noConversion"/>
  </si>
  <si>
    <t>유효기간</t>
    <phoneticPr fontId="3" type="noConversion"/>
  </si>
  <si>
    <t>실적금액(억원)
(지분반영)</t>
    <phoneticPr fontId="3" type="noConversion"/>
  </si>
  <si>
    <t>경과기간
(년)</t>
    <phoneticPr fontId="3" type="noConversion"/>
  </si>
  <si>
    <t>가중치
(경과기간)</t>
    <phoneticPr fontId="3" type="noConversion"/>
  </si>
  <si>
    <t>가중치
(건수,금액)</t>
    <phoneticPr fontId="3" type="noConversion"/>
  </si>
  <si>
    <t>특허</t>
    <phoneticPr fontId="30" type="noConversion"/>
  </si>
  <si>
    <t>신기술 활용실적</t>
    <phoneticPr fontId="30" type="noConversion"/>
  </si>
  <si>
    <t>특허</t>
    <phoneticPr fontId="3" type="noConversion"/>
  </si>
  <si>
    <t>신기술</t>
    <phoneticPr fontId="30" type="noConversion"/>
  </si>
  <si>
    <t>건설사업관리
용역업자회사명</t>
    <phoneticPr fontId="3" type="noConversion"/>
  </si>
  <si>
    <t>합계</t>
    <phoneticPr fontId="3" type="noConversion"/>
  </si>
  <si>
    <t>발주청</t>
    <phoneticPr fontId="2" type="noConversion"/>
  </si>
  <si>
    <t>용역명</t>
    <phoneticPr fontId="2" type="noConversion"/>
  </si>
  <si>
    <t>구분</t>
    <phoneticPr fontId="2" type="noConversion"/>
  </si>
  <si>
    <t>용역번호</t>
    <phoneticPr fontId="2" type="noConversion"/>
  </si>
  <si>
    <t>한국토지주택공사</t>
    <phoneticPr fontId="2" type="noConversion"/>
  </si>
  <si>
    <t>점수</t>
    <phoneticPr fontId="2" type="noConversion"/>
  </si>
  <si>
    <t>평가일</t>
    <phoneticPr fontId="2" type="noConversion"/>
  </si>
  <si>
    <t>환산점수</t>
    <phoneticPr fontId="2" type="noConversion"/>
  </si>
  <si>
    <t>소계</t>
    <phoneticPr fontId="2" type="noConversion"/>
  </si>
  <si>
    <t>실적금액(백만원)</t>
    <phoneticPr fontId="2" type="noConversion"/>
  </si>
  <si>
    <t>환산실적</t>
    <phoneticPr fontId="2" type="noConversion"/>
  </si>
  <si>
    <t>단위 : 억원</t>
    <phoneticPr fontId="3" type="noConversion"/>
  </si>
  <si>
    <t>건설사업관리
용역업자회사명</t>
    <phoneticPr fontId="3" type="noConversion"/>
  </si>
  <si>
    <t>건설사업관리 수행 실적금액</t>
    <phoneticPr fontId="3" type="noConversion"/>
  </si>
  <si>
    <t>지분율</t>
    <phoneticPr fontId="3" type="noConversion"/>
  </si>
  <si>
    <t>산정금액</t>
    <phoneticPr fontId="3" type="noConversion"/>
  </si>
  <si>
    <t>입찰공고일</t>
    <phoneticPr fontId="3" type="noConversion"/>
  </si>
  <si>
    <t>건진법</t>
    <phoneticPr fontId="3" type="noConversion"/>
  </si>
  <si>
    <t>건진법외</t>
    <phoneticPr fontId="3" type="noConversion"/>
  </si>
  <si>
    <t>계</t>
    <phoneticPr fontId="3" type="noConversion"/>
  </si>
  <si>
    <t>시작기준일</t>
    <phoneticPr fontId="3" type="noConversion"/>
  </si>
  <si>
    <t>종료기준일</t>
    <phoneticPr fontId="3" type="noConversion"/>
  </si>
  <si>
    <t>1)공동이행사(대표)</t>
    <phoneticPr fontId="3" type="noConversion"/>
  </si>
  <si>
    <t>단위 : 천원</t>
    <phoneticPr fontId="3" type="noConversion"/>
  </si>
  <si>
    <t>구분</t>
    <phoneticPr fontId="3" type="noConversion"/>
  </si>
  <si>
    <t>발주처</t>
    <phoneticPr fontId="3" type="noConversion"/>
  </si>
  <si>
    <t>사업명</t>
    <phoneticPr fontId="3" type="noConversion"/>
  </si>
  <si>
    <t>용역기간</t>
    <phoneticPr fontId="3" type="noConversion"/>
  </si>
  <si>
    <t>인정기간</t>
    <phoneticPr fontId="3" type="noConversion"/>
  </si>
  <si>
    <t>총공사
기간</t>
    <phoneticPr fontId="3" type="noConversion"/>
  </si>
  <si>
    <t>실적
기간</t>
    <phoneticPr fontId="3" type="noConversion"/>
  </si>
  <si>
    <t>용역비
(업체입력)</t>
    <phoneticPr fontId="3" type="noConversion"/>
  </si>
  <si>
    <t>평가금액</t>
    <phoneticPr fontId="3" type="noConversion"/>
  </si>
  <si>
    <t>착수</t>
    <phoneticPr fontId="3" type="noConversion"/>
  </si>
  <si>
    <t>준공</t>
    <phoneticPr fontId="3" type="noConversion"/>
  </si>
  <si>
    <t>시작일</t>
    <phoneticPr fontId="3" type="noConversion"/>
  </si>
  <si>
    <t>종료일</t>
    <phoneticPr fontId="3" type="noConversion"/>
  </si>
  <si>
    <t>완료</t>
    <phoneticPr fontId="3" type="noConversion"/>
  </si>
  <si>
    <t>차수별기성 수행기간</t>
    <phoneticPr fontId="3" type="noConversion"/>
  </si>
  <si>
    <t>감리용역확인서
페이지</t>
    <phoneticPr fontId="3" type="noConversion"/>
  </si>
  <si>
    <t>진행</t>
    <phoneticPr fontId="3" type="noConversion"/>
  </si>
  <si>
    <t>소계</t>
    <phoneticPr fontId="3" type="noConversion"/>
  </si>
  <si>
    <t>2)공동이행사-1</t>
    <phoneticPr fontId="3" type="noConversion"/>
  </si>
  <si>
    <t>구분</t>
    <phoneticPr fontId="3" type="noConversion"/>
  </si>
  <si>
    <t>발주처</t>
    <phoneticPr fontId="3" type="noConversion"/>
  </si>
  <si>
    <t>사업명</t>
    <phoneticPr fontId="3" type="noConversion"/>
  </si>
  <si>
    <t>용역기간</t>
    <phoneticPr fontId="3" type="noConversion"/>
  </si>
  <si>
    <t>인정기간</t>
    <phoneticPr fontId="3" type="noConversion"/>
  </si>
  <si>
    <t>총공사
기간</t>
    <phoneticPr fontId="3" type="noConversion"/>
  </si>
  <si>
    <t>실적
기간</t>
    <phoneticPr fontId="3" type="noConversion"/>
  </si>
  <si>
    <t>용역비
(업체입력)</t>
    <phoneticPr fontId="3" type="noConversion"/>
  </si>
  <si>
    <t>평가금액</t>
    <phoneticPr fontId="3" type="noConversion"/>
  </si>
  <si>
    <t>감리용역확인서
페이지</t>
    <phoneticPr fontId="3" type="noConversion"/>
  </si>
  <si>
    <t>착수</t>
    <phoneticPr fontId="3" type="noConversion"/>
  </si>
  <si>
    <t>준공</t>
    <phoneticPr fontId="3" type="noConversion"/>
  </si>
  <si>
    <t>시작일</t>
    <phoneticPr fontId="3" type="noConversion"/>
  </si>
  <si>
    <t>종료일</t>
    <phoneticPr fontId="3" type="noConversion"/>
  </si>
  <si>
    <t>완료</t>
    <phoneticPr fontId="3" type="noConversion"/>
  </si>
  <si>
    <t>건진법에 의한
시공
단계의
건설
사업
관리
실적</t>
    <phoneticPr fontId="3" type="noConversion"/>
  </si>
  <si>
    <t>건진법외
건축법상 감리
주택법상 감리</t>
    <phoneticPr fontId="3" type="noConversion"/>
  </si>
  <si>
    <t>차수별기성 수행기간</t>
    <phoneticPr fontId="3" type="noConversion"/>
  </si>
  <si>
    <t>최종수행일</t>
    <phoneticPr fontId="3" type="noConversion"/>
  </si>
  <si>
    <t>진행</t>
    <phoneticPr fontId="3" type="noConversion"/>
  </si>
  <si>
    <t>2)공동이행사-2</t>
    <phoneticPr fontId="3" type="noConversion"/>
  </si>
  <si>
    <t>2)공동이행사-3</t>
    <phoneticPr fontId="3" type="noConversion"/>
  </si>
  <si>
    <t>구      분</t>
    <phoneticPr fontId="3" type="noConversion"/>
  </si>
  <si>
    <t>성명</t>
    <phoneticPr fontId="3" type="noConversion"/>
  </si>
  <si>
    <t>생년월</t>
    <phoneticPr fontId="3" type="noConversion"/>
  </si>
  <si>
    <t>LH제시등급</t>
    <phoneticPr fontId="3" type="noConversion"/>
  </si>
  <si>
    <t>참여등급</t>
    <phoneticPr fontId="3" type="noConversion"/>
  </si>
  <si>
    <t>적격여부</t>
    <phoneticPr fontId="3" type="noConversion"/>
  </si>
  <si>
    <t>소속사</t>
    <phoneticPr fontId="3" type="noConversion"/>
  </si>
  <si>
    <t>특급</t>
    <phoneticPr fontId="3" type="noConversion"/>
  </si>
  <si>
    <t>보조1</t>
    <phoneticPr fontId="3" type="noConversion"/>
  </si>
  <si>
    <t>기계</t>
    <phoneticPr fontId="3" type="noConversion"/>
  </si>
  <si>
    <t>토목</t>
    <phoneticPr fontId="3" type="noConversion"/>
  </si>
  <si>
    <t>통신</t>
    <phoneticPr fontId="3" type="noConversion"/>
  </si>
  <si>
    <t xml:space="preserve">   (4) 안전관리담당자</t>
    <phoneticPr fontId="3" type="noConversion"/>
  </si>
  <si>
    <t>분야</t>
    <phoneticPr fontId="3" type="noConversion"/>
  </si>
  <si>
    <t>직책</t>
    <phoneticPr fontId="3" type="noConversion"/>
  </si>
  <si>
    <t>* 아래부분 절대 작업금지</t>
    <phoneticPr fontId="3" type="noConversion"/>
  </si>
  <si>
    <t>건축1</t>
    <phoneticPr fontId="3" type="noConversion"/>
  </si>
  <si>
    <t>특급</t>
    <phoneticPr fontId="3" type="noConversion"/>
  </si>
  <si>
    <t xml:space="preserve"> </t>
    <phoneticPr fontId="3" type="noConversion"/>
  </si>
  <si>
    <t>고급이상</t>
    <phoneticPr fontId="3" type="noConversion"/>
  </si>
  <si>
    <t>중급이상</t>
    <phoneticPr fontId="3" type="noConversion"/>
  </si>
  <si>
    <t>기계1</t>
    <phoneticPr fontId="3" type="noConversion"/>
  </si>
  <si>
    <t>토목1</t>
    <phoneticPr fontId="3" type="noConversion"/>
  </si>
  <si>
    <t>전기1</t>
    <phoneticPr fontId="3" type="noConversion"/>
  </si>
  <si>
    <t>참여감리원</t>
    <phoneticPr fontId="3" type="noConversion"/>
  </si>
  <si>
    <t>성명</t>
    <phoneticPr fontId="3" type="noConversion"/>
  </si>
  <si>
    <t>생년월</t>
    <phoneticPr fontId="3" type="noConversion"/>
  </si>
  <si>
    <t>소속사</t>
    <phoneticPr fontId="3" type="noConversion"/>
  </si>
  <si>
    <t>배치예정일</t>
    <phoneticPr fontId="3" type="noConversion"/>
  </si>
  <si>
    <t>상주</t>
  </si>
  <si>
    <t>기술
지원</t>
  </si>
  <si>
    <t>위 내용이 틀림이 없음을 확인합니다.</t>
  </si>
  <si>
    <t>현장명</t>
    <phoneticPr fontId="3" type="noConversion"/>
  </si>
  <si>
    <t>배치기간</t>
    <phoneticPr fontId="3" type="noConversion"/>
  </si>
  <si>
    <t>신고여부</t>
    <phoneticPr fontId="3" type="noConversion"/>
  </si>
  <si>
    <t>비고</t>
    <phoneticPr fontId="3" type="noConversion"/>
  </si>
  <si>
    <t>책임감리원</t>
  </si>
  <si>
    <t>기준일</t>
    <phoneticPr fontId="3" type="noConversion"/>
  </si>
  <si>
    <t>LH제시등급</t>
    <phoneticPr fontId="3" type="noConversion"/>
  </si>
  <si>
    <t>참여등급</t>
    <phoneticPr fontId="3" type="noConversion"/>
  </si>
  <si>
    <t>근무처</t>
    <phoneticPr fontId="3" type="noConversion"/>
  </si>
  <si>
    <t>공사종류</t>
    <phoneticPr fontId="3" type="noConversion"/>
  </si>
  <si>
    <t>업무분야</t>
    <phoneticPr fontId="3" type="noConversion"/>
  </si>
  <si>
    <t>반영율</t>
    <phoneticPr fontId="3" type="noConversion"/>
  </si>
  <si>
    <t>실적기준일</t>
    <phoneticPr fontId="3" type="noConversion"/>
  </si>
  <si>
    <t>실적일수</t>
    <phoneticPr fontId="3" type="noConversion"/>
  </si>
  <si>
    <t>해당분야
경력</t>
    <phoneticPr fontId="3" type="noConversion"/>
  </si>
  <si>
    <t>직무분야실적(해당직무분야의 참여일수 합산)</t>
    <phoneticPr fontId="3" type="noConversion"/>
  </si>
  <si>
    <t>참여분야</t>
    <phoneticPr fontId="3" type="noConversion"/>
  </si>
  <si>
    <t>시작일</t>
    <phoneticPr fontId="3" type="noConversion"/>
  </si>
  <si>
    <t>종료일</t>
    <phoneticPr fontId="3" type="noConversion"/>
  </si>
  <si>
    <t>성명</t>
    <phoneticPr fontId="3" type="noConversion"/>
  </si>
  <si>
    <t>구분</t>
    <phoneticPr fontId="3" type="noConversion"/>
  </si>
  <si>
    <t>근무처</t>
    <phoneticPr fontId="3" type="noConversion"/>
  </si>
  <si>
    <t>발주처</t>
    <phoneticPr fontId="3" type="noConversion"/>
  </si>
  <si>
    <t>사업명</t>
    <phoneticPr fontId="3" type="noConversion"/>
  </si>
  <si>
    <t>반영율</t>
    <phoneticPr fontId="3" type="noConversion"/>
  </si>
  <si>
    <t>시작일</t>
    <phoneticPr fontId="3" type="noConversion"/>
  </si>
  <si>
    <t>종료일</t>
    <phoneticPr fontId="3" type="noConversion"/>
  </si>
  <si>
    <t>실적기준일</t>
    <phoneticPr fontId="3" type="noConversion"/>
  </si>
  <si>
    <t>실적일수</t>
    <phoneticPr fontId="3" type="noConversion"/>
  </si>
  <si>
    <t>해당분야
경력</t>
    <phoneticPr fontId="3" type="noConversion"/>
  </si>
  <si>
    <t>계</t>
    <phoneticPr fontId="3" type="noConversion"/>
  </si>
  <si>
    <t>참여등급</t>
    <phoneticPr fontId="3" type="noConversion"/>
  </si>
  <si>
    <t>기준일</t>
    <phoneticPr fontId="3" type="noConversion"/>
  </si>
  <si>
    <t>성명</t>
    <phoneticPr fontId="3" type="noConversion"/>
  </si>
  <si>
    <t>구분</t>
    <phoneticPr fontId="3" type="noConversion"/>
  </si>
  <si>
    <t>근무처</t>
    <phoneticPr fontId="3" type="noConversion"/>
  </si>
  <si>
    <t>발주처</t>
    <phoneticPr fontId="3" type="noConversion"/>
  </si>
  <si>
    <t>사업명</t>
    <phoneticPr fontId="3" type="noConversion"/>
  </si>
  <si>
    <t>공사종류</t>
    <phoneticPr fontId="3" type="noConversion"/>
  </si>
  <si>
    <t>업무분야</t>
    <phoneticPr fontId="3" type="noConversion"/>
  </si>
  <si>
    <t>반영율</t>
    <phoneticPr fontId="3" type="noConversion"/>
  </si>
  <si>
    <t>시작일</t>
    <phoneticPr fontId="3" type="noConversion"/>
  </si>
  <si>
    <t>종료일</t>
    <phoneticPr fontId="3" type="noConversion"/>
  </si>
  <si>
    <t>실적기준일</t>
    <phoneticPr fontId="3" type="noConversion"/>
  </si>
  <si>
    <t>실적일수</t>
    <phoneticPr fontId="3" type="noConversion"/>
  </si>
  <si>
    <t>LH제시등급</t>
    <phoneticPr fontId="3" type="noConversion"/>
  </si>
  <si>
    <t xml:space="preserve">  2) 기계 기술지원기술자 경력</t>
    <phoneticPr fontId="3" type="noConversion"/>
  </si>
  <si>
    <t>공사종류</t>
    <phoneticPr fontId="3" type="noConversion"/>
  </si>
  <si>
    <t>업무분야</t>
    <phoneticPr fontId="3" type="noConversion"/>
  </si>
  <si>
    <t>해당분야경력</t>
    <phoneticPr fontId="3" type="noConversion"/>
  </si>
  <si>
    <t xml:space="preserve">  3) 토목 기술지원기술자 경력</t>
    <phoneticPr fontId="3" type="noConversion"/>
  </si>
  <si>
    <t>도로공사
(감리)</t>
    <phoneticPr fontId="3" type="noConversion"/>
  </si>
  <si>
    <t>성 명</t>
    <phoneticPr fontId="3" type="noConversion"/>
  </si>
  <si>
    <t>교  육
과정명</t>
    <phoneticPr fontId="3" type="noConversion"/>
  </si>
  <si>
    <t>교육기간</t>
    <phoneticPr fontId="3" type="noConversion"/>
  </si>
  <si>
    <t>인정여부</t>
    <phoneticPr fontId="3" type="noConversion"/>
  </si>
  <si>
    <t>평점</t>
    <phoneticPr fontId="3" type="noConversion"/>
  </si>
  <si>
    <t>(1:인정,0:불인정)</t>
    <phoneticPr fontId="3" type="noConversion"/>
  </si>
  <si>
    <t>책임기술자</t>
    <phoneticPr fontId="3" type="noConversion"/>
  </si>
  <si>
    <t>기술지원
기술자</t>
    <phoneticPr fontId="3" type="noConversion"/>
  </si>
  <si>
    <t>안전관리담당자</t>
    <phoneticPr fontId="3" type="noConversion"/>
  </si>
  <si>
    <t>성 명</t>
    <phoneticPr fontId="3" type="noConversion"/>
  </si>
  <si>
    <t>교  육
과정명</t>
    <phoneticPr fontId="3" type="noConversion"/>
  </si>
  <si>
    <t>교육기간</t>
    <phoneticPr fontId="3" type="noConversion"/>
  </si>
  <si>
    <t>인정여부</t>
    <phoneticPr fontId="3" type="noConversion"/>
  </si>
  <si>
    <t>적격
여부</t>
    <phoneticPr fontId="3" type="noConversion"/>
  </si>
  <si>
    <t>(1:인정,0:불인정)</t>
    <phoneticPr fontId="3" type="noConversion"/>
  </si>
  <si>
    <t>신규고용율</t>
    <phoneticPr fontId="3" type="noConversion"/>
  </si>
  <si>
    <t>채용인원</t>
    <phoneticPr fontId="3" type="noConversion"/>
  </si>
  <si>
    <t>시작기준일월</t>
    <phoneticPr fontId="3" type="noConversion"/>
  </si>
  <si>
    <t>종료기준월</t>
    <phoneticPr fontId="3" type="noConversion"/>
  </si>
  <si>
    <t xml:space="preserve">최근1년간 건설기술자 신규고용인원 </t>
    <phoneticPr fontId="3" type="noConversion"/>
  </si>
  <si>
    <t>직전년도 동기간 평균 고용인원</t>
    <phoneticPr fontId="3" type="noConversion"/>
  </si>
  <si>
    <t>평가점수</t>
    <phoneticPr fontId="3" type="noConversion"/>
  </si>
  <si>
    <t>인정금액(백만원)</t>
    <phoneticPr fontId="2" type="noConversion"/>
  </si>
  <si>
    <t>2)공동이행사-1</t>
    <phoneticPr fontId="2" type="noConversion"/>
  </si>
  <si>
    <t>3)공동이행사-2</t>
    <phoneticPr fontId="2" type="noConversion"/>
  </si>
  <si>
    <t>4)공동이행사-3</t>
    <phoneticPr fontId="2" type="noConversion"/>
  </si>
  <si>
    <t>2-2 기술개발및투자실적</t>
    <phoneticPr fontId="2" type="noConversion"/>
  </si>
  <si>
    <t>4. 전문가 역량</t>
    <phoneticPr fontId="2" type="noConversion"/>
  </si>
  <si>
    <t>업체별 업무중첩도</t>
    <phoneticPr fontId="2" type="noConversion"/>
  </si>
  <si>
    <t>개발활용실적
점수</t>
    <phoneticPr fontId="3" type="noConversion"/>
  </si>
  <si>
    <t>투자실적</t>
    <phoneticPr fontId="3" type="noConversion"/>
  </si>
  <si>
    <t>투자실적
점수</t>
    <phoneticPr fontId="3" type="noConversion"/>
  </si>
  <si>
    <t>특급</t>
  </si>
  <si>
    <t>중급이상</t>
    <phoneticPr fontId="3" type="noConversion"/>
  </si>
  <si>
    <t>초급이상</t>
    <phoneticPr fontId="3" type="noConversion"/>
  </si>
  <si>
    <t>초급이상중급이하</t>
    <phoneticPr fontId="3" type="noConversion"/>
  </si>
  <si>
    <t>적격</t>
    <phoneticPr fontId="2" type="noConversion"/>
  </si>
  <si>
    <t>소  계</t>
    <phoneticPr fontId="2" type="noConversion"/>
  </si>
  <si>
    <t>계</t>
    <phoneticPr fontId="2" type="noConversion"/>
  </si>
  <si>
    <t>초급이상</t>
    <phoneticPr fontId="2" type="noConversion"/>
  </si>
  <si>
    <t xml:space="preserve">   종합기술제안서 평가대상에서 제외됩니다.(단, 용역계약기간이 1년 미만인 경우는 참여가능)</t>
  </si>
  <si>
    <t>감리용역확인서
페이지</t>
    <phoneticPr fontId="3" type="noConversion"/>
  </si>
  <si>
    <t>※ 작성바람↓</t>
    <phoneticPr fontId="2" type="noConversion"/>
  </si>
  <si>
    <t xml:space="preserve">관련지침 : </t>
    <phoneticPr fontId="3" type="noConversion"/>
  </si>
  <si>
    <t>1.            ,                      색 표시부분에 자료 입력</t>
    <phoneticPr fontId="3" type="noConversion"/>
  </si>
  <si>
    <t>7. 입찰공고일 기준 1년 이내 LH와 계약체결된 건설사업관리용역의 면접참여기술자를 본 용역입찰에 포함한 업체는</t>
    <phoneticPr fontId="2" type="noConversion"/>
  </si>
  <si>
    <t>점수</t>
    <phoneticPr fontId="2" type="noConversion"/>
  </si>
  <si>
    <t>발주청</t>
    <phoneticPr fontId="2" type="noConversion"/>
  </si>
  <si>
    <t>실적금액(백만원)</t>
    <phoneticPr fontId="2" type="noConversion"/>
  </si>
  <si>
    <t>한국토지주택공사</t>
    <phoneticPr fontId="2" type="noConversion"/>
  </si>
  <si>
    <t>소계</t>
    <phoneticPr fontId="2" type="noConversion"/>
  </si>
  <si>
    <t>4)공동이행사-4</t>
    <phoneticPr fontId="2" type="noConversion"/>
  </si>
  <si>
    <t>신기술 개발실적</t>
    <phoneticPr fontId="30" type="noConversion"/>
  </si>
  <si>
    <t>입찰공고일</t>
    <phoneticPr fontId="3" type="noConversion"/>
  </si>
  <si>
    <t>지정번호</t>
    <phoneticPr fontId="3" type="noConversion"/>
  </si>
  <si>
    <t>지정(출원)일</t>
    <phoneticPr fontId="30" type="noConversion"/>
  </si>
  <si>
    <t>보호기간
(만료일자)</t>
    <phoneticPr fontId="3" type="noConversion"/>
  </si>
  <si>
    <t>점수</t>
    <phoneticPr fontId="3" type="noConversion"/>
  </si>
  <si>
    <t>신기술</t>
    <phoneticPr fontId="30" type="noConversion"/>
  </si>
  <si>
    <t>계</t>
    <phoneticPr fontId="30" type="noConversion"/>
  </si>
  <si>
    <t>신기술 활용실적</t>
    <phoneticPr fontId="30" type="noConversion"/>
  </si>
  <si>
    <t>활용년도</t>
    <phoneticPr fontId="3" type="noConversion"/>
  </si>
  <si>
    <t>사용실적
참여지분율</t>
    <phoneticPr fontId="3" type="noConversion"/>
  </si>
  <si>
    <t>실적금액
(억원)</t>
    <phoneticPr fontId="3" type="noConversion"/>
  </si>
  <si>
    <t>가중치</t>
    <phoneticPr fontId="3" type="noConversion"/>
  </si>
  <si>
    <t>특허 활용실적</t>
    <phoneticPr fontId="30" type="noConversion"/>
  </si>
  <si>
    <t>등록번호</t>
    <phoneticPr fontId="3" type="noConversion"/>
  </si>
  <si>
    <t>용역(공사)명</t>
    <phoneticPr fontId="30" type="noConversion"/>
  </si>
  <si>
    <t>유효기간</t>
    <phoneticPr fontId="3" type="noConversion"/>
  </si>
  <si>
    <t>사용실적
참여지분율</t>
    <phoneticPr fontId="3" type="noConversion"/>
  </si>
  <si>
    <t>실적건수</t>
    <phoneticPr fontId="3" type="noConversion"/>
  </si>
  <si>
    <t>경과기간
(년)</t>
    <phoneticPr fontId="3" type="noConversion"/>
  </si>
  <si>
    <t>가중치
(건수,금액)</t>
    <phoneticPr fontId="3" type="noConversion"/>
  </si>
  <si>
    <t>특허</t>
    <phoneticPr fontId="3" type="noConversion"/>
  </si>
  <si>
    <t>구분</t>
    <phoneticPr fontId="3" type="noConversion"/>
  </si>
  <si>
    <t>사업명</t>
    <phoneticPr fontId="3" type="noConversion"/>
  </si>
  <si>
    <t>용역기간</t>
    <phoneticPr fontId="3" type="noConversion"/>
  </si>
  <si>
    <t>인정기간</t>
    <phoneticPr fontId="3" type="noConversion"/>
  </si>
  <si>
    <t>총공사
기간</t>
    <phoneticPr fontId="3" type="noConversion"/>
  </si>
  <si>
    <t>실적
기간</t>
    <phoneticPr fontId="3" type="noConversion"/>
  </si>
  <si>
    <t>용역비
(업체입력)</t>
    <phoneticPr fontId="3" type="noConversion"/>
  </si>
  <si>
    <t>평가금액</t>
    <phoneticPr fontId="3" type="noConversion"/>
  </si>
  <si>
    <t>감리용역확인서
페이지</t>
    <phoneticPr fontId="3" type="noConversion"/>
  </si>
  <si>
    <t>착수</t>
    <phoneticPr fontId="3" type="noConversion"/>
  </si>
  <si>
    <t>준공</t>
    <phoneticPr fontId="3" type="noConversion"/>
  </si>
  <si>
    <t>완료</t>
    <phoneticPr fontId="3" type="noConversion"/>
  </si>
  <si>
    <t>건진법에 의한
시공
단계의
건설
사업
관리
실적</t>
    <phoneticPr fontId="3" type="noConversion"/>
  </si>
  <si>
    <t>소계</t>
    <phoneticPr fontId="3" type="noConversion"/>
  </si>
  <si>
    <t>건진법외
건축법상 감리
주택법상 감리</t>
    <phoneticPr fontId="3" type="noConversion"/>
  </si>
  <si>
    <t>구분</t>
    <phoneticPr fontId="3" type="noConversion"/>
  </si>
  <si>
    <t>발주처</t>
    <phoneticPr fontId="3" type="noConversion"/>
  </si>
  <si>
    <t>차수별기성 수행기간</t>
    <phoneticPr fontId="3" type="noConversion"/>
  </si>
  <si>
    <t>실적
기간</t>
    <phoneticPr fontId="3" type="noConversion"/>
  </si>
  <si>
    <t>용역비
(업체입력)</t>
    <phoneticPr fontId="3" type="noConversion"/>
  </si>
  <si>
    <t>평가금액</t>
    <phoneticPr fontId="3" type="noConversion"/>
  </si>
  <si>
    <t>최종수행일</t>
    <phoneticPr fontId="3" type="noConversion"/>
  </si>
  <si>
    <t>시작일</t>
    <phoneticPr fontId="3" type="noConversion"/>
  </si>
  <si>
    <t>진행</t>
    <phoneticPr fontId="3" type="noConversion"/>
  </si>
  <si>
    <t>2)공동이행사-4</t>
    <phoneticPr fontId="3" type="noConversion"/>
  </si>
  <si>
    <t>담당자성명</t>
    <phoneticPr fontId="2" type="noConversion"/>
  </si>
  <si>
    <t>회사직통번호
휴대폰번호</t>
    <phoneticPr fontId="2" type="noConversion"/>
  </si>
  <si>
    <t>정량(계량)부문</t>
    <phoneticPr fontId="2" type="noConversion"/>
  </si>
  <si>
    <t>정성(비계량)부문
-사전설명회 및
심사 관련 문자 송부예정</t>
    <phoneticPr fontId="2" type="noConversion"/>
  </si>
  <si>
    <t>구분</t>
    <phoneticPr fontId="2" type="noConversion"/>
  </si>
  <si>
    <t>▽▽▽작성요망</t>
    <phoneticPr fontId="2" type="noConversion"/>
  </si>
  <si>
    <t>참여기술인</t>
    <phoneticPr fontId="2" type="noConversion"/>
  </si>
  <si>
    <t>2-1 용역평가결과</t>
    <phoneticPr fontId="2" type="noConversion"/>
  </si>
  <si>
    <t>투자실적</t>
    <phoneticPr fontId="2" type="noConversion"/>
  </si>
  <si>
    <t>개발 활용 실적</t>
    <phoneticPr fontId="2" type="noConversion"/>
  </si>
  <si>
    <t>이메일주소</t>
    <phoneticPr fontId="2" type="noConversion"/>
  </si>
  <si>
    <t>(3)입찰불참</t>
    <phoneticPr fontId="3" type="noConversion"/>
  </si>
  <si>
    <r>
      <t xml:space="preserve">(1)영업(업무)정지
</t>
    </r>
    <r>
      <rPr>
        <sz val="10"/>
        <color rgb="FF0000FF"/>
        <rFont val="굴림"/>
        <family val="3"/>
        <charset val="129"/>
      </rPr>
      <t>최근1년간</t>
    </r>
    <phoneticPr fontId="3" type="noConversion"/>
  </si>
  <si>
    <t xml:space="preserve">    업체산정점수와 엑셀산출점수를 확인 후 제출바랍니다.</t>
    <phoneticPr fontId="3" type="noConversion"/>
  </si>
  <si>
    <t>8. 입찰공고문의 평가제외된 배치기술자 관련된 사항은 본 PQ평가에 기입하지 않아도 되는 사항입니다. 해당사항아닌 부분은 행삭제 등 정리하여 제출!!</t>
    <phoneticPr fontId="2" type="noConversion"/>
  </si>
  <si>
    <t>★★★ 건설사업관리용역사업자 사업수행능력평가 지침 양식7 계산법 의거하여
 '최근3년간 실적' 인정일관련 수식수정함</t>
    <phoneticPr fontId="2" type="noConversion"/>
  </si>
  <si>
    <t>참여사업자에서 자체적으로
엑셀 수정한 부분 및 원본대조필인으로 증빙한 부분 기입
(전화 통화후 작성요망)</t>
    <phoneticPr fontId="2" type="noConversion"/>
  </si>
  <si>
    <r>
      <t>※공사비와 입찰공고일</t>
    </r>
    <r>
      <rPr>
        <b/>
        <sz val="10"/>
        <color indexed="8"/>
        <rFont val="굴림"/>
        <family val="3"/>
        <charset val="129"/>
      </rPr>
      <t xml:space="preserve"> </t>
    </r>
    <r>
      <rPr>
        <b/>
        <sz val="10"/>
        <color indexed="8"/>
        <rFont val="굴림"/>
        <family val="3"/>
        <charset val="129"/>
      </rPr>
      <t>입력</t>
    </r>
    <phoneticPr fontId="87" type="noConversion"/>
  </si>
  <si>
    <t>해당
분야
경력</t>
    <phoneticPr fontId="3" type="noConversion"/>
  </si>
  <si>
    <t>자기
평가</t>
    <phoneticPr fontId="3" type="noConversion"/>
  </si>
  <si>
    <t>구분</t>
    <phoneticPr fontId="3" type="noConversion"/>
  </si>
  <si>
    <t>업 체 명</t>
  </si>
  <si>
    <t>사업자번호</t>
  </si>
  <si>
    <t>대표자</t>
  </si>
  <si>
    <t>공동수급비율</t>
    <phoneticPr fontId="3" type="noConversion"/>
  </si>
  <si>
    <t>담당자</t>
    <phoneticPr fontId="3" type="noConversion"/>
  </si>
  <si>
    <t>전화번호</t>
    <phoneticPr fontId="3" type="noConversion"/>
  </si>
  <si>
    <t>1.신용도</t>
    <phoneticPr fontId="3" type="noConversion"/>
  </si>
  <si>
    <t>2.기술역량</t>
    <phoneticPr fontId="3" type="noConversion"/>
  </si>
  <si>
    <t>3.유사용역</t>
    <phoneticPr fontId="3" type="noConversion"/>
  </si>
  <si>
    <r>
      <t xml:space="preserve">소방
</t>
    </r>
    <r>
      <rPr>
        <sz val="10"/>
        <rFont val="맑은 고딕"/>
        <family val="3"/>
        <charset val="129"/>
        <scheme val="major"/>
      </rPr>
      <t>(80점이상)</t>
    </r>
    <phoneticPr fontId="3" type="noConversion"/>
  </si>
  <si>
    <t>LH
평가</t>
    <phoneticPr fontId="3" type="noConversion"/>
  </si>
  <si>
    <t>배점</t>
    <phoneticPr fontId="3" type="noConversion"/>
  </si>
  <si>
    <t>주관사 사업자번호☞</t>
    <phoneticPr fontId="2" type="noConversion"/>
  </si>
  <si>
    <t>주관사 대표자명☞</t>
    <phoneticPr fontId="2" type="noConversion"/>
  </si>
  <si>
    <t>이시트는 작성 및 삭제를 금지합니다 있는 그대로 두시고 마감시 제출하시면 됩니다</t>
    <phoneticPr fontId="2" type="noConversion"/>
  </si>
  <si>
    <t>※ 자주틀리시는 부분 : PQ지침 Ⅱ시공단계의 건설사업관리용역 PQ평가 세부기준 1.참여기술인 다.해당분야 경력 (1)항 사항에서
아파트 건설공사 건설사업관리용역 참여시 아파트 건설공사만 인정됩니다.
EX. 아파트 건설공사 건설사업관리용역 참여하는데 교육연구훈련 및 기타건축물 등으로 상기 부분 요건을 만족할 순 없습니다.</t>
    <phoneticPr fontId="2" type="noConversion"/>
  </si>
  <si>
    <t>9. 정량평가 제본 시 순서는 자기평가표 순서에 따라 해당 증빙자료를 제본 하면 되고, 증빙자료가 이미 증빙한 앞부분 증빙자료와 중복될경우 중복된 증빙자료부터는 필요한 부분만 발췌하여 첨부하시면 됩니다.</t>
    <phoneticPr fontId="2" type="noConversion"/>
  </si>
  <si>
    <t>★2. 만약 평가지침과 본 평가표 양식의 차이가 발생할 시에는 평가지침의 내용을 따릅니다.</t>
    <phoneticPr fontId="3" type="noConversion"/>
  </si>
  <si>
    <t>평가자료 USB 1개</t>
    <phoneticPr fontId="2" type="noConversion"/>
  </si>
  <si>
    <t>5. 추가로 증빙자료의 총괄 설명이 필요할 시에는 임의양식으로 작성제출 하시기 바랍니다.</t>
    <phoneticPr fontId="3" type="noConversion"/>
  </si>
  <si>
    <t>↑동일인 작성가능</t>
    <phoneticPr fontId="2" type="noConversion"/>
  </si>
  <si>
    <t>1)공동이행사(주관사)</t>
    <phoneticPr fontId="2" type="noConversion"/>
  </si>
  <si>
    <t>안전</t>
    <phoneticPr fontId="2" type="noConversion"/>
  </si>
  <si>
    <t>LH제시등급이
기술사일경우만 표시</t>
    <phoneticPr fontId="3" type="noConversion"/>
  </si>
  <si>
    <t>합계</t>
    <phoneticPr fontId="2" type="noConversion"/>
  </si>
  <si>
    <t>건진법/
건진법 외/
시공경력</t>
    <phoneticPr fontId="3" type="noConversion"/>
  </si>
  <si>
    <t>건진법/
건진법외/
시공경력</t>
    <phoneticPr fontId="3" type="noConversion"/>
  </si>
  <si>
    <t>건진법경력/
건진법외 경력/
시공경력</t>
    <phoneticPr fontId="3" type="noConversion"/>
  </si>
  <si>
    <t>300억</t>
    <phoneticPr fontId="2" type="noConversion"/>
  </si>
  <si>
    <t>100억</t>
    <phoneticPr fontId="2" type="noConversion"/>
  </si>
  <si>
    <t>100억 미만</t>
    <phoneticPr fontId="2" type="noConversion"/>
  </si>
  <si>
    <t>안전</t>
    <phoneticPr fontId="2" type="noConversion"/>
  </si>
  <si>
    <t>해당분야경력
(건진법
+건진법 이외
경력)</t>
    <phoneticPr fontId="3" type="noConversion"/>
  </si>
  <si>
    <t>교육기간</t>
    <phoneticPr fontId="2" type="noConversion"/>
  </si>
  <si>
    <t>인감증명서 1부.</t>
  </si>
  <si>
    <t>공동수급협정서 1부. (해당자에 한함)</t>
  </si>
  <si>
    <t>(공동수급체인 경우 구성원 모두 제출)</t>
    <phoneticPr fontId="2" type="noConversion"/>
  </si>
  <si>
    <t xml:space="preserve">          </t>
    <phoneticPr fontId="3" type="noConversion"/>
  </si>
  <si>
    <t>고급이상</t>
  </si>
  <si>
    <t>기술지원
기술인
(비상주)</t>
    <phoneticPr fontId="3" type="noConversion"/>
  </si>
  <si>
    <t>책임기술인</t>
    <phoneticPr fontId="3" type="noConversion"/>
  </si>
  <si>
    <t>분야별
기술인</t>
    <phoneticPr fontId="3" type="noConversion"/>
  </si>
  <si>
    <t>기술지원기술인</t>
    <phoneticPr fontId="3" type="noConversion"/>
  </si>
  <si>
    <t>(가점)건설기술인 신규고용율</t>
    <phoneticPr fontId="3" type="noConversion"/>
  </si>
  <si>
    <t>책임건설사업관리기술인</t>
    <phoneticPr fontId="3" type="noConversion"/>
  </si>
  <si>
    <t xml:space="preserve">   (2) 상주기술인</t>
    <phoneticPr fontId="3" type="noConversion"/>
  </si>
  <si>
    <t xml:space="preserve">   (3) 기술지원기술인</t>
    <phoneticPr fontId="3" type="noConversion"/>
  </si>
  <si>
    <t>분야별기술인 직무분야경력</t>
    <phoneticPr fontId="3" type="noConversion"/>
  </si>
  <si>
    <t>분야별기술인 해당분야경력</t>
    <phoneticPr fontId="3" type="noConversion"/>
  </si>
  <si>
    <t xml:space="preserve">   (1) 책임건설사업관리기술인</t>
    <phoneticPr fontId="3" type="noConversion"/>
  </si>
  <si>
    <t>1) 책임기술인 경력</t>
    <phoneticPr fontId="3" type="noConversion"/>
  </si>
  <si>
    <t>★ 종합기술제안서 평가안내서 세부기준 1.참여기술인 다.해당분야경력 (1) 책임기술인의 경력에 해당하는 공사는 '엑셀 각 셀마다 붉은색'으로 별도표기</t>
    <phoneticPr fontId="3" type="noConversion"/>
  </si>
  <si>
    <t>☜각 기술인 경력증명서 맨뒷장 직무/전문분야 인정일수 현황 참고</t>
    <phoneticPr fontId="2" type="noConversion"/>
  </si>
  <si>
    <t>사업자(대표자 포함)</t>
    <phoneticPr fontId="2" type="noConversion"/>
  </si>
  <si>
    <t>안전</t>
    <phoneticPr fontId="2" type="noConversion"/>
  </si>
  <si>
    <t>안전 보조감리원</t>
    <phoneticPr fontId="2" type="noConversion"/>
  </si>
  <si>
    <t>2. 기술역량 합계 </t>
    <phoneticPr fontId="3" type="noConversion"/>
  </si>
  <si>
    <t>3. 유사용역실적 합계 </t>
    <phoneticPr fontId="3" type="noConversion"/>
  </si>
  <si>
    <t>소방</t>
    <phoneticPr fontId="3" type="noConversion"/>
  </si>
  <si>
    <t>초급이상</t>
  </si>
  <si>
    <t>기술적이행능력평가(1단계)-정량평가</t>
    <phoneticPr fontId="3" type="noConversion"/>
  </si>
  <si>
    <t>종합기술기술제안서-정량평가</t>
    <phoneticPr fontId="2" type="noConversion"/>
  </si>
  <si>
    <t>1단계 
평가점수
(10%환산)</t>
    <phoneticPr fontId="2" type="noConversion"/>
  </si>
  <si>
    <t>계
(94점 초과)</t>
    <phoneticPr fontId="2" type="noConversion"/>
  </si>
  <si>
    <t>기술적이행능력평가(1단계)-정량평가</t>
    <phoneticPr fontId="2" type="noConversion"/>
  </si>
  <si>
    <t>1.관리역량
(신용도)
20점</t>
    <phoneticPr fontId="3" type="noConversion"/>
  </si>
  <si>
    <t>2.기술역량
50점</t>
    <phoneticPr fontId="2" type="noConversion"/>
  </si>
  <si>
    <t>3.유사용역
수행실적
30점</t>
    <phoneticPr fontId="2" type="noConversion"/>
  </si>
  <si>
    <t>LH 퇴직자(전관) 보유</t>
    <phoneticPr fontId="2" type="noConversion"/>
  </si>
  <si>
    <t>평가의 공정성, 적정성 저해우려사항, 
기술적이행능력 평가서 작성위반 등</t>
    <phoneticPr fontId="2" type="noConversion"/>
  </si>
  <si>
    <t>4. 계약신뢰도
-6점</t>
    <phoneticPr fontId="2" type="noConversion"/>
  </si>
  <si>
    <t>평가적격자 : 94점 초과 참여사</t>
    <phoneticPr fontId="2" type="noConversion"/>
  </si>
  <si>
    <t>기술적이행능력 평가서 및 종합기술제안서(계량평가) 1부. (증빙서류 포함)</t>
    <phoneticPr fontId="2" type="noConversion"/>
  </si>
  <si>
    <t>BB+</t>
    <phoneticPr fontId="3" type="noConversion"/>
  </si>
  <si>
    <t>BBB-</t>
    <phoneticPr fontId="3" type="noConversion"/>
  </si>
  <si>
    <t>신기술명</t>
    <phoneticPr fontId="30" type="noConversion"/>
  </si>
  <si>
    <t>OOO건설사업</t>
    <phoneticPr fontId="3" type="noConversion"/>
  </si>
  <si>
    <t>10-222222</t>
    <phoneticPr fontId="3" type="noConversion"/>
  </si>
  <si>
    <t>★ 해당엑셀의 수정,변경,추가사항은 파란색으로 표시하였습니다.
숙지후 작성하셔야 합니다. 오류발생시 전화요망</t>
    <phoneticPr fontId="2" type="noConversion"/>
  </si>
  <si>
    <t>(감점)LH 3급 퇴직자 과업참여</t>
    <phoneticPr fontId="2" type="noConversion"/>
  </si>
  <si>
    <r>
      <t xml:space="preserve">색 표시부분은 수식이 연결되어 있으므로 </t>
    </r>
    <r>
      <rPr>
        <b/>
        <sz val="14"/>
        <color indexed="10"/>
        <rFont val="맑은 고딕"/>
        <family val="3"/>
        <charset val="129"/>
        <scheme val="major"/>
      </rPr>
      <t>자료 입력 금지 및 양식 절대변경 금지</t>
    </r>
    <phoneticPr fontId="3" type="noConversion"/>
  </si>
  <si>
    <r>
      <t xml:space="preserve">★ 참고 : </t>
    </r>
    <r>
      <rPr>
        <b/>
        <sz val="11"/>
        <color rgb="FF0000FF"/>
        <rFont val="맑은 고딕"/>
        <family val="3"/>
        <charset val="129"/>
        <scheme val="major"/>
      </rPr>
      <t>소방기술자도 모두 작성!! 오타주의!!(특히 성명/생년월/소속사)</t>
    </r>
    <r>
      <rPr>
        <sz val="11"/>
        <color rgb="FFFF0000"/>
        <rFont val="맑은 고딕"/>
        <family val="3"/>
        <charset val="129"/>
        <scheme val="major"/>
      </rPr>
      <t xml:space="preserve">
             업무중첩현장이 다수인 경우 셀삽입하여 기재
             </t>
    </r>
    <r>
      <rPr>
        <b/>
        <sz val="11"/>
        <color rgb="FF0000FF"/>
        <rFont val="맑은 고딕"/>
        <family val="3"/>
        <charset val="129"/>
        <scheme val="major"/>
      </rPr>
      <t>필요없는 셀 및 평가제외 기술인 행은  행삭제하여 정리 후 제출</t>
    </r>
    <r>
      <rPr>
        <sz val="11"/>
        <color rgb="FFFF0000"/>
        <rFont val="맑은 고딕"/>
        <family val="3"/>
        <charset val="129"/>
        <scheme val="major"/>
      </rPr>
      <t xml:space="preserve">
             청년기술인가 있는 경우 표시</t>
    </r>
    <phoneticPr fontId="3" type="noConversion"/>
  </si>
  <si>
    <r>
      <t xml:space="preserve">※ LH제시등급-&gt;참여등급 차례로 입력 후 적격여부 확인
</t>
    </r>
    <r>
      <rPr>
        <b/>
        <sz val="10"/>
        <color rgb="FF0000FF"/>
        <rFont val="맑은 고딕"/>
        <family val="3"/>
        <charset val="129"/>
        <scheme val="major"/>
      </rPr>
      <t>※ 소방기술자 배치시, 정보입력바람</t>
    </r>
    <r>
      <rPr>
        <b/>
        <sz val="10"/>
        <color rgb="FFFF0000"/>
        <rFont val="맑은 고딕"/>
        <family val="3"/>
        <charset val="129"/>
        <scheme val="major"/>
      </rPr>
      <t xml:space="preserve">
※ 청년기술인 배치시, 구분란에 명기(표기예시:보조2(청년))
※ 안전관리자 배치시, 과업내용서에 제시한 기술자 중 배치
   (그외의 자로 배치시 실격처리 함, 
    </t>
    </r>
    <r>
      <rPr>
        <b/>
        <sz val="10"/>
        <color rgb="FF0000FF"/>
        <rFont val="맑은 고딕"/>
        <family val="3"/>
        <charset val="129"/>
        <scheme val="major"/>
      </rPr>
      <t>예로</t>
    </r>
    <r>
      <rPr>
        <b/>
        <sz val="10"/>
        <color rgb="FFFF0000"/>
        <rFont val="맑은 고딕"/>
        <family val="3"/>
        <charset val="129"/>
        <scheme val="major"/>
      </rPr>
      <t xml:space="preserve"> 건축,토목 배치가능인데, 건축1을 배치하면 안됨)
</t>
    </r>
    <r>
      <rPr>
        <b/>
        <sz val="10"/>
        <color rgb="FF0000FF"/>
        <rFont val="맑은 고딕"/>
        <family val="3"/>
        <charset val="129"/>
        <scheme val="major"/>
      </rPr>
      <t>※평가제외 기술자는 작성하지 않으셔도 됩니다(평가제외 경우 행삭제)</t>
    </r>
    <phoneticPr fontId="2" type="noConversion"/>
  </si>
  <si>
    <t>보조2</t>
    <phoneticPr fontId="3" type="noConversion"/>
  </si>
  <si>
    <t>입찰공고문 상
첨부.LH퇴직자 명단 확인서 제출 기준으로 수기입력
전관보유시 -6점적용</t>
    <phoneticPr fontId="2" type="noConversion"/>
  </si>
  <si>
    <t>Pass/Fail</t>
    <phoneticPr fontId="2" type="noConversion"/>
  </si>
  <si>
    <t>P</t>
    <phoneticPr fontId="2" type="noConversion"/>
  </si>
  <si>
    <t>기술적이행능력 평가점수의 10%</t>
    <phoneticPr fontId="3" type="noConversion"/>
  </si>
  <si>
    <t>3.가감점</t>
    <phoneticPr fontId="3" type="noConversion"/>
  </si>
  <si>
    <t>4.계약신뢰도</t>
    <phoneticPr fontId="2" type="noConversion"/>
  </si>
  <si>
    <t>2전문가
역량</t>
    <phoneticPr fontId="3" type="noConversion"/>
  </si>
  <si>
    <t>1.기술보유
10점</t>
    <phoneticPr fontId="3" type="noConversion"/>
  </si>
  <si>
    <r>
      <t>(4)품질</t>
    </r>
    <r>
      <rPr>
        <b/>
        <sz val="10"/>
        <color rgb="FF0000FF"/>
        <rFont val="맑은 고딕"/>
        <family val="3"/>
        <charset val="129"/>
      </rPr>
      <t>통지서</t>
    </r>
    <phoneticPr fontId="2" type="noConversion"/>
  </si>
  <si>
    <t>품질미흡통지</t>
    <phoneticPr fontId="2" type="noConversion"/>
  </si>
  <si>
    <t>품질우수통지</t>
    <phoneticPr fontId="2" type="noConversion"/>
  </si>
  <si>
    <t>평가후 지분율에 의한 (점수)합산
F9 정지기간(단위 월) 작성</t>
    <phoneticPr fontId="2" type="noConversion"/>
  </si>
  <si>
    <t>단순합산
F10은 정지기간(단위 월) 작성
F11은 부과된 벌점(단위 점) 작성
F12는 입찰불참한 횟수(단위 회) 작성
F13(14)은 품질미흡(우수)통지서 발급횟수 작성
(단, 품질우수통지서로 품질미흡통지서 감점만 상쇄가능)</t>
    <phoneticPr fontId="2" type="noConversion"/>
  </si>
  <si>
    <t>평가후 지분율에 의한 (점수)합산</t>
    <phoneticPr fontId="2" type="noConversion"/>
  </si>
  <si>
    <r>
      <t xml:space="preserve">평가후 지분율에 의한 (점수)합산
★용역평가점수는 </t>
    </r>
    <r>
      <rPr>
        <b/>
        <sz val="8"/>
        <color rgb="FF0000FF"/>
        <rFont val="맑은 고딕"/>
        <family val="3"/>
        <charset val="129"/>
        <scheme val="minor"/>
      </rPr>
      <t>국토안전관리원</t>
    </r>
    <r>
      <rPr>
        <b/>
        <sz val="8"/>
        <color theme="1"/>
        <rFont val="맑은 고딕"/>
        <family val="3"/>
        <charset val="129"/>
        <scheme val="minor"/>
      </rPr>
      <t xml:space="preserve">이 관리하는 자료 활용
★실적금액은 한국건설기술관리협회의 용역실적금액을 적용한다.
</t>
    </r>
    <r>
      <rPr>
        <b/>
        <sz val="8"/>
        <color rgb="FFFF0000"/>
        <rFont val="맑은 고딕"/>
        <family val="3"/>
        <charset val="129"/>
        <scheme val="minor"/>
      </rPr>
      <t>★용역평가결과는 한시적 배점한도조정(입찰공고문 참조)</t>
    </r>
    <phoneticPr fontId="2" type="noConversion"/>
  </si>
  <si>
    <t>지분율에 의한 (실적)합산 후 평가</t>
    <phoneticPr fontId="2" type="noConversion"/>
  </si>
  <si>
    <t xml:space="preserve">국토안전관리원에 등록된 용역평가일 기준으로 직전 3개 연도에 획득한 평가결과를 산술평균한 점수 적용(평가년도는 입찰공고시 안내)한다. </t>
    <phoneticPr fontId="2" type="noConversion"/>
  </si>
  <si>
    <t>평가적격여부 (94점 초과)</t>
    <phoneticPr fontId="2" type="noConversion"/>
  </si>
  <si>
    <t>2주이상이수 : 1점/1주이상이수 : 0.5점</t>
    <phoneticPr fontId="3" type="noConversion"/>
  </si>
  <si>
    <t>2주이상이수 : 0.5점/1주이상이수 : 0.3점</t>
    <phoneticPr fontId="3" type="noConversion"/>
  </si>
  <si>
    <t>LH제시등급
(건설사업관리용역)</t>
    <phoneticPr fontId="3" type="noConversion"/>
  </si>
  <si>
    <r>
      <t>LH제시등급
(설계</t>
    </r>
    <r>
      <rPr>
        <b/>
        <sz val="11"/>
        <rFont val="맑은 고딕"/>
        <family val="3"/>
        <charset val="129"/>
      </rPr>
      <t>·</t>
    </r>
    <r>
      <rPr>
        <b/>
        <sz val="11"/>
        <rFont val="맑은 고딕"/>
        <family val="3"/>
        <charset val="129"/>
        <scheme val="major"/>
      </rPr>
      <t>시공등 직무분야)</t>
    </r>
    <phoneticPr fontId="3" type="noConversion"/>
  </si>
  <si>
    <r>
      <t>LH제시등급
(설계</t>
    </r>
    <r>
      <rPr>
        <b/>
        <sz val="11"/>
        <rFont val="맑은 고딕"/>
        <family val="3"/>
        <charset val="129"/>
      </rPr>
      <t>·</t>
    </r>
    <r>
      <rPr>
        <b/>
        <sz val="11"/>
        <rFont val="맑은 고딕"/>
        <family val="3"/>
        <charset val="129"/>
        <scheme val="major"/>
      </rPr>
      <t>시공등 전문분야)</t>
    </r>
    <phoneticPr fontId="3" type="noConversion"/>
  </si>
  <si>
    <t>안전(직무분야)</t>
    <phoneticPr fontId="3" type="noConversion"/>
  </si>
  <si>
    <t>※ LH제시등급이 '기술사'일 경우 LH제시등급은 '특급'으로 기재하고,
 참여등급은 '기술사'로 노란박스 적격여부는 임의로 '적격'기재 가능</t>
    <phoneticPr fontId="2" type="noConversion"/>
  </si>
  <si>
    <t>LH제시등급(건설사업관리용역)</t>
    <phoneticPr fontId="3" type="noConversion"/>
  </si>
  <si>
    <t>참여등급(건설사업관리용역)</t>
    <phoneticPr fontId="3" type="noConversion"/>
  </si>
  <si>
    <t>초급이상</t>
    <phoneticPr fontId="2" type="noConversion"/>
  </si>
  <si>
    <t>주) 공동수급체 구성원별로 최소 1인 이상 참여하여야 한다.</t>
    <phoneticPr fontId="3" type="noConversion"/>
  </si>
  <si>
    <t>제출시 2점 적용(규격위반 LH평가)</t>
    <phoneticPr fontId="2" type="noConversion"/>
  </si>
  <si>
    <t>과업내용에 대한 경험</t>
    <phoneticPr fontId="2" type="noConversion"/>
  </si>
  <si>
    <t>(감점) 주요부실벌점 「건설기술 진흥법 시행령」[별표 8] 제5호 나목 중 1)-가), 2)-가),  5)-가)의 부실로 벌점을 받은 업체</t>
    <phoneticPr fontId="2" type="noConversion"/>
  </si>
  <si>
    <t>(감점) 주요부실벌점  건설기술 진흥법 시행령」[별표 8] 제5호 나목 중 1)-나), 2)-나)의 부실로 벌점을 받은 업체</t>
    <phoneticPr fontId="2" type="noConversion"/>
  </si>
  <si>
    <t>"해당없음"</t>
  </si>
  <si>
    <t>100%인정</t>
    <phoneticPr fontId="3" type="noConversion"/>
  </si>
  <si>
    <t>50%인정</t>
    <phoneticPr fontId="3" type="noConversion"/>
  </si>
  <si>
    <t>50%인정</t>
    <phoneticPr fontId="3" type="noConversion"/>
  </si>
  <si>
    <t>소계</t>
    <phoneticPr fontId="3" type="noConversion"/>
  </si>
  <si>
    <t>소계</t>
    <phoneticPr fontId="3" type="noConversion"/>
  </si>
  <si>
    <t>"해당없음"</t>
    <phoneticPr fontId="3" type="noConversion"/>
  </si>
  <si>
    <t>100%인정</t>
    <phoneticPr fontId="2" type="noConversion"/>
  </si>
  <si>
    <t>100%인정</t>
    <phoneticPr fontId="2" type="noConversion"/>
  </si>
  <si>
    <t>50%인정</t>
    <phoneticPr fontId="2" type="noConversion"/>
  </si>
  <si>
    <t>50%인정</t>
    <phoneticPr fontId="2" type="noConversion"/>
  </si>
  <si>
    <t>100%인정</t>
    <phoneticPr fontId="2" type="noConversion"/>
  </si>
  <si>
    <t>"해당없음"</t>
    <phoneticPr fontId="3" type="noConversion"/>
  </si>
  <si>
    <t>3명</t>
    <phoneticPr fontId="2" type="noConversion"/>
  </si>
  <si>
    <t>토목</t>
    <phoneticPr fontId="3" type="noConversion"/>
  </si>
  <si>
    <t>토목1</t>
    <phoneticPr fontId="3" type="noConversion"/>
  </si>
  <si>
    <t>안전1</t>
    <phoneticPr fontId="2" type="noConversion"/>
  </si>
  <si>
    <t>안전1</t>
    <phoneticPr fontId="2" type="noConversion"/>
  </si>
  <si>
    <t>특급</t>
    <phoneticPr fontId="2" type="noConversion"/>
  </si>
  <si>
    <t>기사</t>
    <phoneticPr fontId="3" type="noConversion"/>
  </si>
  <si>
    <t>100%인정</t>
    <phoneticPr fontId="3" type="noConversion"/>
  </si>
  <si>
    <t>특급</t>
    <phoneticPr fontId="2" type="noConversion"/>
  </si>
  <si>
    <t>70%인정</t>
    <phoneticPr fontId="3" type="noConversion"/>
  </si>
  <si>
    <t>1) 토목 기술지원기술인 경력</t>
    <phoneticPr fontId="3" type="noConversion"/>
  </si>
  <si>
    <t>1) 토목 분야별기술인1 경력</t>
    <phoneticPr fontId="3" type="noConversion"/>
  </si>
  <si>
    <t>1) 안전 분야별기술자1 경력</t>
    <phoneticPr fontId="3" type="noConversion"/>
  </si>
  <si>
    <t>100%인정</t>
    <phoneticPr fontId="3" type="noConversion"/>
  </si>
  <si>
    <t>"해당없음"</t>
    <phoneticPr fontId="2" type="noConversion"/>
  </si>
  <si>
    <t>건설사업관리기술인전문교육</t>
    <phoneticPr fontId="2" type="noConversion"/>
  </si>
  <si>
    <t>A0</t>
    <phoneticPr fontId="3" type="noConversion"/>
  </si>
  <si>
    <t>A+</t>
    <phoneticPr fontId="3" type="noConversion"/>
  </si>
  <si>
    <t>토목 보조감리원1</t>
    <phoneticPr fontId="2" type="noConversion"/>
  </si>
  <si>
    <t>토목 기술지원</t>
    <phoneticPr fontId="2" type="noConversion"/>
  </si>
  <si>
    <t>기술지원</t>
    <phoneticPr fontId="2" type="noConversion"/>
  </si>
  <si>
    <t xml:space="preserve">신기술 </t>
    <phoneticPr fontId="3" type="noConversion"/>
  </si>
  <si>
    <t>중급이상</t>
  </si>
  <si>
    <t>고급</t>
    <phoneticPr fontId="2" type="noConversion"/>
  </si>
  <si>
    <t>고급</t>
    <phoneticPr fontId="2" type="noConversion"/>
  </si>
  <si>
    <t xml:space="preserve">2025 . 08 . 08 </t>
    <phoneticPr fontId="3" type="noConversion"/>
  </si>
  <si>
    <t>건설사업(안전관리)기술인교육</t>
    <phoneticPr fontId="2" type="noConversion"/>
  </si>
  <si>
    <t>신고</t>
    <phoneticPr fontId="2" type="noConversion"/>
  </si>
  <si>
    <t>미등재</t>
    <phoneticPr fontId="2" type="noConversion"/>
  </si>
  <si>
    <t>기술지원</t>
    <phoneticPr fontId="2" type="noConversion"/>
  </si>
  <si>
    <t>분야
책임</t>
    <phoneticPr fontId="2" type="noConversion"/>
  </si>
  <si>
    <t>A</t>
    <phoneticPr fontId="2" type="noConversion"/>
  </si>
  <si>
    <t>B</t>
    <phoneticPr fontId="2" type="noConversion"/>
  </si>
  <si>
    <t>C</t>
    <phoneticPr fontId="2" type="noConversion"/>
  </si>
  <si>
    <t>홍 길 동</t>
    <phoneticPr fontId="2" type="noConversion"/>
  </si>
  <si>
    <r>
      <t>(</t>
    </r>
    <r>
      <rPr>
        <sz val="11"/>
        <rFont val="맑은 고딕"/>
        <family val="2"/>
        <charset val="129"/>
        <scheme val="minor"/>
      </rPr>
      <t>☎</t>
    </r>
    <r>
      <rPr>
        <sz val="11"/>
        <rFont val="신명조"/>
        <family val="3"/>
        <charset val="129"/>
      </rPr>
      <t>:055-922-0000)</t>
    </r>
    <phoneticPr fontId="3" type="noConversion"/>
  </si>
  <si>
    <t>FAX   : 055-922-0000</t>
    <phoneticPr fontId="3" type="noConversion"/>
  </si>
  <si>
    <t>E-Mail:hong@naver.com</t>
    <phoneticPr fontId="3" type="noConversion"/>
  </si>
  <si>
    <t>경남 진주시 충의로 19</t>
    <phoneticPr fontId="2" type="noConversion"/>
  </si>
  <si>
    <t>김 철 수</t>
    <phoneticPr fontId="2" type="noConversion"/>
  </si>
  <si>
    <t>홍길동</t>
    <phoneticPr fontId="2" type="noConversion"/>
  </si>
  <si>
    <t>이을용</t>
    <phoneticPr fontId="2" type="noConversion"/>
  </si>
  <si>
    <t>02-000-0000
010-0000-0000</t>
    <phoneticPr fontId="2" type="noConversion"/>
  </si>
  <si>
    <t>hong@naver.com</t>
    <phoneticPr fontId="2" type="noConversion"/>
  </si>
  <si>
    <t>lee@naver.com</t>
    <phoneticPr fontId="2" type="noConversion"/>
  </si>
  <si>
    <t>123-45-67890</t>
    <phoneticPr fontId="2" type="noConversion"/>
  </si>
  <si>
    <t>김철수</t>
    <phoneticPr fontId="2" type="noConversion"/>
  </si>
  <si>
    <t>2-1
건설엔지니어링
평가결과 심사
15점</t>
    <phoneticPr fontId="2" type="noConversion"/>
  </si>
  <si>
    <t>핵심기술인 현황(정성)</t>
    <phoneticPr fontId="2" type="noConversion"/>
  </si>
  <si>
    <t>품질보증 및 관리체계(정성)</t>
    <phoneticPr fontId="2" type="noConversion"/>
  </si>
  <si>
    <t>사업관리 운영체계(정성)</t>
    <phoneticPr fontId="2" type="noConversion"/>
  </si>
  <si>
    <t>2-3
과업내용에 대한 경험
10점</t>
    <phoneticPr fontId="2" type="noConversion"/>
  </si>
  <si>
    <t>용역평가 환산점수(1단계)</t>
    <phoneticPr fontId="3" type="noConversion"/>
  </si>
  <si>
    <t>용역평가 환산점수(2단계)</t>
    <phoneticPr fontId="3" type="noConversion"/>
  </si>
  <si>
    <t>산정점수(1단계)</t>
    <phoneticPr fontId="3" type="noConversion"/>
  </si>
  <si>
    <t>산정점수(2단계)</t>
    <phoneticPr fontId="3" type="noConversion"/>
  </si>
  <si>
    <t>예시</t>
    <phoneticPr fontId="2" type="noConversion"/>
  </si>
  <si>
    <t>예시</t>
    <phoneticPr fontId="2" type="noConversion"/>
  </si>
  <si>
    <t>기술1</t>
    <phoneticPr fontId="3" type="noConversion"/>
  </si>
  <si>
    <t>기술2</t>
    <phoneticPr fontId="3" type="noConversion"/>
  </si>
  <si>
    <t>기술3</t>
    <phoneticPr fontId="3" type="noConversion"/>
  </si>
  <si>
    <t>기술2</t>
    <phoneticPr fontId="3" type="noConversion"/>
  </si>
  <si>
    <t>기술3</t>
    <phoneticPr fontId="3" type="noConversion"/>
  </si>
  <si>
    <t>기술4</t>
    <phoneticPr fontId="3" type="noConversion"/>
  </si>
  <si>
    <t>1단계</t>
    <phoneticPr fontId="2" type="noConversion"/>
  </si>
  <si>
    <t>2단계</t>
    <phoneticPr fontId="2" type="noConversion"/>
  </si>
  <si>
    <t>기술적이행능력평가(2단계)-환산(용역평가결과 점수 2단계 반영)</t>
    <phoneticPr fontId="2" type="noConversion"/>
  </si>
  <si>
    <t>2.작업 및 직원 투입계획
5점</t>
    <phoneticPr fontId="3" type="noConversion"/>
  </si>
  <si>
    <t>교체 빈도
(5%미만부터 구간별적용)</t>
    <phoneticPr fontId="3" type="noConversion"/>
  </si>
  <si>
    <t>토목</t>
    <phoneticPr fontId="2" type="noConversion"/>
  </si>
  <si>
    <t>2주이수 : 0.2점/1주이수 : 0.12점</t>
    <phoneticPr fontId="3" type="noConversion"/>
  </si>
  <si>
    <t>3% 이상 : +1.0점
2% 이상 : +0.8점
1% 이상 : +0.6점</t>
    <phoneticPr fontId="3" type="noConversion"/>
  </si>
  <si>
    <t>(가점)젊은 기술인 참여비율</t>
    <phoneticPr fontId="3" type="noConversion"/>
  </si>
  <si>
    <t>5% 이상 : +1.0점
3% 이상 : +0.8점
1% 이상 : +0.6점</t>
    <phoneticPr fontId="3" type="noConversion"/>
  </si>
  <si>
    <t>* 건설기술자 신규고용율  =최근1년간건설기술자 신규 고용인원(입찰공고일전월기준)/최근 1년간 월 평균 고용일
* 신규 건설기술자는 입찰공고일 현재 해당업체 재직중인자로 건설기술자 경력관리 수탁기관의 경력증명서에 최초로 입사 등록된자(이전 건설분야 근무경력이 없는자)에 한함
* 직전년도 동기간 평균고용인원은 건설기술자 경력관리 수탁기관에 신고한자로서 해당업체의 기술자 재직인원(월말기준)을 월단위로 평균하여 산정</t>
    <phoneticPr fontId="3" type="noConversion"/>
  </si>
  <si>
    <t>* 당해 건설엔지니어링에 참여하는 근무경력 5년 미만 기술인/당해 건설엔지니어링 전체 참여인원수×100
* 건설기술인 경력관리 수탁기관의 경력증명서상 건설엔지니어링업체에서 근무한 전체경력이 5년 미만인 기술인이 당해 건설엔지니어링에 참여한 경우 
  전체 참여인원수에 대한 비율에 따라 가점 부여</t>
    <phoneticPr fontId="3" type="noConversion"/>
  </si>
  <si>
    <t>참여비율</t>
    <phoneticPr fontId="3" type="noConversion"/>
  </si>
  <si>
    <t>당해 건설엔지니어링에 참여하는 근무경력 5년 미만 기술인</t>
    <phoneticPr fontId="3" type="noConversion"/>
  </si>
  <si>
    <t>당해 건설엔지니어링 전체 참여인원수×100</t>
    <phoneticPr fontId="3" type="noConversion"/>
  </si>
  <si>
    <t>젊은 기술인 참여비율</t>
    <phoneticPr fontId="3" type="noConversion"/>
  </si>
  <si>
    <t>참여인원</t>
    <phoneticPr fontId="3" type="noConversion"/>
  </si>
  <si>
    <t>3.전문가 역량
24점</t>
    <phoneticPr fontId="2" type="noConversion"/>
  </si>
  <si>
    <t>4.스마트
건설기술 
1점</t>
    <phoneticPr fontId="2" type="noConversion"/>
  </si>
  <si>
    <t>5.가감점</t>
    <phoneticPr fontId="2" type="noConversion"/>
  </si>
  <si>
    <t>4. 스마트 건설기술 합계</t>
    <phoneticPr fontId="2" type="noConversion"/>
  </si>
  <si>
    <t>BIM 전문인력 구성</t>
    <phoneticPr fontId="2" type="noConversion"/>
  </si>
  <si>
    <t>평가대상기술인</t>
    <phoneticPr fontId="3" type="noConversion"/>
  </si>
  <si>
    <t>교육과정명</t>
    <phoneticPr fontId="3" type="noConversion"/>
  </si>
  <si>
    <t>* 당해 건설엔지니어링에 참가하는 평가대상 기술인이 최근 3년간 건설기술진흥법 제20조제2항의 규정에 따른
  BIM 및 스마트 건설기술교육을 받은것을 대상으로 평가</t>
    <phoneticPr fontId="3" type="noConversion"/>
  </si>
  <si>
    <t>*참여기술인 교육훈련 실적과 중복 인정</t>
    <phoneticPr fontId="3" type="noConversion"/>
  </si>
  <si>
    <t>BIM 및 스마트건설교육</t>
    <phoneticPr fontId="2" type="noConversion"/>
  </si>
  <si>
    <t>홍길동</t>
    <phoneticPr fontId="2" type="noConversion"/>
  </si>
  <si>
    <t>백철수</t>
    <phoneticPr fontId="2" type="noConversion"/>
  </si>
  <si>
    <t>홍영희</t>
    <phoneticPr fontId="2" type="noConversion"/>
  </si>
  <si>
    <t>김가나다</t>
    <phoneticPr fontId="2" type="noConversion"/>
  </si>
  <si>
    <t>5-2.젊은 기술인 참여비율</t>
    <phoneticPr fontId="3" type="noConversion"/>
  </si>
  <si>
    <t>5-1.건설기술자 신규고용율</t>
    <phoneticPr fontId="3" type="noConversion"/>
  </si>
  <si>
    <t>4.BIM 전문인력 구성</t>
    <phoneticPr fontId="3" type="noConversion"/>
  </si>
  <si>
    <t>3-3 참여기술자 평가_교육훈련</t>
    <phoneticPr fontId="3" type="noConversion"/>
  </si>
  <si>
    <t>3-2 참여기술자 평가_경력(기술지원)</t>
    <phoneticPr fontId="3" type="noConversion"/>
  </si>
  <si>
    <t>3-2 참여기술자 평가_경력(안전)</t>
    <phoneticPr fontId="3" type="noConversion"/>
  </si>
  <si>
    <t>3-2 참여기술인 평가_경력(토목)</t>
    <phoneticPr fontId="3" type="noConversion"/>
  </si>
  <si>
    <t>3-2 참여기술인 평가_경력</t>
    <phoneticPr fontId="3" type="noConversion"/>
  </si>
  <si>
    <t>3-1 참여기술인 평가_등급(적격/부적격)</t>
    <phoneticPr fontId="3" type="noConversion"/>
  </si>
  <si>
    <t>2-3. 유사용역실적</t>
    <phoneticPr fontId="2" type="noConversion"/>
  </si>
  <si>
    <r>
      <rPr>
        <b/>
        <sz val="10"/>
        <color rgb="FF0000FF"/>
        <rFont val="굴림"/>
        <family val="3"/>
        <charset val="129"/>
      </rPr>
      <t>(2)벌점</t>
    </r>
    <r>
      <rPr>
        <sz val="10"/>
        <color rgb="FF0000FF"/>
        <rFont val="굴림"/>
        <family val="3"/>
        <charset val="129"/>
      </rPr>
      <t>(LH에서 부과한 것)
사업자(대표자) 및 참여기술인
입찰공고일기준 최근 1년간</t>
    </r>
    <phoneticPr fontId="3" type="noConversion"/>
  </si>
  <si>
    <t>2-2 
과업내용에 대한 전문성
(기술개발 및 투자실적,핵심기술인 현황)
25점</t>
    <phoneticPr fontId="3" type="noConversion"/>
  </si>
  <si>
    <t>1-1 
신용도
(영업정지,벌점,
재정건실도 등)
10점</t>
    <phoneticPr fontId="3" type="noConversion"/>
  </si>
  <si>
    <t>1-2
품질보증 및 관리체계
5점</t>
    <phoneticPr fontId="2" type="noConversion"/>
  </si>
  <si>
    <t>1-3
사업관리 운영체계
5점</t>
    <phoneticPr fontId="2" type="noConversion"/>
  </si>
  <si>
    <t>3-1 
양적평가
(건설사업관리용역업자실적
입찰공고일기준 최근 3년간
입찰공고일 포함-지침양식7의거,해당시트참조)</t>
    <phoneticPr fontId="2" type="noConversion"/>
  </si>
  <si>
    <t>3-2
질적평가(정성)</t>
    <phoneticPr fontId="2" type="noConversion"/>
  </si>
  <si>
    <t>3. 전문가 역량 합계</t>
    <phoneticPr fontId="2" type="noConversion"/>
  </si>
  <si>
    <t>5. 가감점 합계</t>
    <phoneticPr fontId="2" type="noConversion"/>
  </si>
  <si>
    <t>업무중첩도</t>
    <phoneticPr fontId="3" type="noConversion"/>
  </si>
  <si>
    <t>2. 작업 및 직원투입계획 합계</t>
    <phoneticPr fontId="2" type="noConversion"/>
  </si>
  <si>
    <t>- 평가 후 지분율에 의한 점수합산</t>
    <phoneticPr fontId="2" type="noConversion"/>
  </si>
  <si>
    <t>- 단순합산</t>
    <phoneticPr fontId="2" type="noConversion"/>
  </si>
  <si>
    <t>- 실적 및 등급란 수기입력
- 단순합산평가</t>
    <phoneticPr fontId="2" type="noConversion"/>
  </si>
  <si>
    <t>- 현장경력은＊안전관리자 만 인정</t>
    <phoneticPr fontId="2" type="noConversion"/>
  </si>
  <si>
    <t xml:space="preserve">공동수급체 구성원 출자비율 산정기준 </t>
    <phoneticPr fontId="2" type="noConversion"/>
  </si>
  <si>
    <t>등급</t>
    <phoneticPr fontId="2" type="noConversion"/>
  </si>
  <si>
    <t>일수</t>
    <phoneticPr fontId="2" type="noConversion"/>
  </si>
  <si>
    <t>인ㆍ일수</t>
    <phoneticPr fontId="2" type="noConversion"/>
  </si>
  <si>
    <t>등급환산계수</t>
    <phoneticPr fontId="2" type="noConversion"/>
  </si>
  <si>
    <t>사업자명</t>
    <phoneticPr fontId="2" type="noConversion"/>
  </si>
  <si>
    <t>배치기간</t>
    <phoneticPr fontId="2" type="noConversion"/>
  </si>
  <si>
    <t>시작</t>
    <phoneticPr fontId="2" type="noConversion"/>
  </si>
  <si>
    <t>완료</t>
    <phoneticPr fontId="2" type="noConversion"/>
  </si>
  <si>
    <t>책임</t>
    <phoneticPr fontId="3" type="noConversion"/>
  </si>
  <si>
    <t>토목2</t>
    <phoneticPr fontId="2" type="noConversion"/>
  </si>
  <si>
    <t>기술지원
(토목)</t>
    <phoneticPr fontId="2" type="noConversion"/>
  </si>
  <si>
    <t>기술지원
(토질지질)</t>
    <phoneticPr fontId="2" type="noConversion"/>
  </si>
  <si>
    <t>토목1
(공무)</t>
    <phoneticPr fontId="2" type="noConversion"/>
  </si>
  <si>
    <t>* 평가대상기술인별 BIM 및 스마트건설기술교육 이수기간을 합산하여 평가(지침안내서에 따른 단순합산평가)</t>
    <phoneticPr fontId="3" type="noConversion"/>
  </si>
  <si>
    <t>홍길동</t>
    <phoneticPr fontId="3" type="noConversion"/>
  </si>
  <si>
    <t>백철수</t>
    <phoneticPr fontId="3" type="noConversion"/>
  </si>
  <si>
    <t>교육시간</t>
    <phoneticPr fontId="3" type="noConversion"/>
  </si>
  <si>
    <t>교육시간
합산</t>
    <phoneticPr fontId="3" type="noConversion"/>
  </si>
  <si>
    <t>환산시간</t>
    <phoneticPr fontId="3" type="noConversion"/>
  </si>
  <si>
    <t>소속업체명</t>
    <phoneticPr fontId="3" type="noConversion"/>
  </si>
  <si>
    <t>A</t>
    <phoneticPr fontId="3" type="noConversion"/>
  </si>
  <si>
    <t>B</t>
    <phoneticPr fontId="3" type="noConversion"/>
  </si>
  <si>
    <t>지분율에 의한 합산평가 반영 시</t>
    <phoneticPr fontId="3" type="noConversion"/>
  </si>
  <si>
    <t>* 일수산정(배치일수/365)*12*22
- 건설사업관리인 배치기준 및 건설사업관리 직접경비 일수 기준
- 등급환산계수는 한국건설엔지니어링협회에서 공표된 건설사업관리기술인
   임금실태조사 결과 참고
- 공동수급체 구성원 출자비율 산정은 고급기준 투입인원수(인·일) 비율로 
   산정해야 하며, 계약 참여 최소 지분율은 10% 이상 이어야 함
- 소수 첫째자리에서 반올림하여 산정하고, 각 사의 출자비율의 ±10% 범위
   에서 조정가능
- 투입 기술인수가 미달 또는 과다할 경우 평가대상에서 제외
- 기술지원기술인의 경우 공고시 게시된 과업내용서상 소요일수 필히 참고
  (엑셀시트 수기입력)</t>
    <phoneticPr fontId="2" type="noConversion"/>
  </si>
  <si>
    <t>지분율</t>
    <phoneticPr fontId="2" type="noConversion"/>
  </si>
  <si>
    <t>분야</t>
    <phoneticPr fontId="2" type="noConversion"/>
  </si>
  <si>
    <t>1명</t>
    <phoneticPr fontId="2" type="noConversion"/>
  </si>
  <si>
    <t>2명</t>
    <phoneticPr fontId="2" type="noConversion"/>
  </si>
  <si>
    <r>
      <t xml:space="preserve">★자주 틀리시는 부분(더블체크 요망)
1. LH에서 평가한 건설사업관리용역에 한하여 인정
</t>
    </r>
    <r>
      <rPr>
        <b/>
        <sz val="11"/>
        <color rgb="FFFF0000"/>
        <rFont val="맑은 고딕"/>
        <family val="3"/>
        <charset val="129"/>
        <scheme val="major"/>
      </rPr>
      <t>2. 입찰공고일 기준 직전 3개년도 평가결과 입력(ex. 2023.1.1. ~ 2025.12.31.)</t>
    </r>
    <r>
      <rPr>
        <b/>
        <sz val="11"/>
        <color rgb="FF0000FF"/>
        <rFont val="맑은 고딕"/>
        <family val="3"/>
        <charset val="129"/>
        <scheme val="major"/>
      </rPr>
      <t xml:space="preserve">
</t>
    </r>
    <r>
      <rPr>
        <b/>
        <strike/>
        <sz val="11"/>
        <color rgb="FF0000FF"/>
        <rFont val="맑은 고딕"/>
        <family val="3"/>
        <charset val="129"/>
        <scheme val="major"/>
      </rPr>
      <t>3. 동일공종 및 동일업종 용역평가결과 둘다 없는 경우에만 3.7점 부과</t>
    </r>
    <r>
      <rPr>
        <b/>
        <sz val="11"/>
        <color rgb="FF0000FF"/>
        <rFont val="맑은 고딕"/>
        <family val="3"/>
        <charset val="129"/>
        <scheme val="major"/>
      </rPr>
      <t xml:space="preserve">
4. 동일공종이 없는 경우에만 동일업종으로 범위 확산 가능 EX. 아파트용역 참여하고자 하고 아파트 1개, 학교 1개 용역평가결과 있으면 아파트 1개만 용역평가결과 적용가능!!!!
5. 금액증빙은 한국건설기술관리협회 용역실적금액을 적용해야!!</t>
    </r>
    <phoneticPr fontId="2" type="noConversion"/>
  </si>
  <si>
    <t>6. 엑셀서식오류 등 작성양식과 관련된 문의 사항은 본사 건설관리처 (055-922-5258)로 문의 바랍니다.</t>
    <phoneticPr fontId="3" type="noConversion"/>
  </si>
  <si>
    <t>건설사업관리엔지니어링 종합심사낙찰제 세부심사기준(10차 개정, 2025.11.13. 시행)</t>
    <phoneticPr fontId="2" type="noConversion"/>
  </si>
  <si>
    <t>건설사업관리엔지니어링사업자 사업수행능력평가 지침(18차 개정, 2025.11.13. 시행)</t>
    <phoneticPr fontId="3" type="noConversion"/>
  </si>
  <si>
    <t xml:space="preserve"> 참  조 : 단지품질안전처장,주택품질안전처장</t>
    <phoneticPr fontId="3" type="noConversion"/>
  </si>
  <si>
    <t xml:space="preserve"> 제  목 : 건설사업관리엔지니어링 종합기술제안서 제출</t>
    <phoneticPr fontId="3" type="noConversion"/>
  </si>
  <si>
    <t>건설사업관리엔지니어링 입찰참여신청서</t>
    <phoneticPr fontId="3" type="noConversion"/>
  </si>
  <si>
    <t xml:space="preserve"> 붙  임 : 건설사업관리용역엔지니어링 등록증 사본, 사업자등록증 사본 및 등기사항전부증명서 각1부.</t>
    <phoneticPr fontId="3" type="noConversion"/>
  </si>
  <si>
    <r>
      <t xml:space="preserve">(종심제)00공사 감독권한대행 등 건설사업관리엔지니어링 </t>
    </r>
    <r>
      <rPr>
        <b/>
        <u/>
        <sz val="14"/>
        <color theme="1"/>
        <rFont val="맑은 고딕"/>
        <family val="3"/>
        <charset val="129"/>
        <scheme val="major"/>
      </rPr>
      <t xml:space="preserve">종합기술제안서 </t>
    </r>
    <r>
      <rPr>
        <b/>
        <sz val="14"/>
        <color theme="1"/>
        <rFont val="맑은 고딕"/>
        <family val="3"/>
        <charset val="129"/>
        <scheme val="major"/>
      </rPr>
      <t>작성 요령</t>
    </r>
    <phoneticPr fontId="3" type="noConversion"/>
  </si>
  <si>
    <t>※ 관련지침 및 해당 용역 입찰공고문 인지 후 작성 및 문의 바람</t>
    <phoneticPr fontId="3" type="noConversion"/>
  </si>
  <si>
    <t>※ 대표전화가 아닌 연락가능한 번호 기입 요망</t>
    <phoneticPr fontId="2" type="noConversion"/>
  </si>
  <si>
    <r>
      <t>- 모든 참여기술인에 대한 평가 진행</t>
    </r>
    <r>
      <rPr>
        <sz val="8.1"/>
        <color theme="1"/>
        <rFont val="굴림"/>
        <family val="3"/>
        <charset val="129"/>
      </rPr>
      <t xml:space="preserve">
- 기술지원 기술인은</t>
    </r>
    <r>
      <rPr>
        <b/>
        <sz val="8.1"/>
        <color theme="1"/>
        <rFont val="굴림"/>
        <family val="3"/>
        <charset val="129"/>
      </rPr>
      <t xml:space="preserve"> 당해용역 포함 9개
  </t>
    </r>
    <r>
      <rPr>
        <sz val="8.1"/>
        <color theme="1"/>
        <rFont val="굴림"/>
        <family val="3"/>
        <charset val="129"/>
      </rPr>
      <t>까지 가능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</si>
</sst>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0">
    <numFmt numFmtId="41" formatCode="_-* #,##0_-;\-* #,##0_-;_-* &quot;-&quot;_-;_-@_-"/>
    <numFmt numFmtId="43" formatCode="_-* #,##0.00_-;\-* #,##0.00_-;_-* &quot;-&quot;??_-;_-@_-"/>
    <numFmt numFmtId="176" formatCode="General&quot;억원&quot;"/>
    <numFmt numFmtId="177" formatCode="General&quot;점&quot;"/>
    <numFmt numFmtId="178" formatCode="General&quot;월&quot;"/>
    <numFmt numFmtId="179" formatCode="0.00_ "/>
    <numFmt numFmtId="180" formatCode="0.000_ "/>
    <numFmt numFmtId="181" formatCode="0.0000"/>
    <numFmt numFmtId="182" formatCode="0.0"/>
    <numFmt numFmtId="183" formatCode="#,##0.0000"/>
    <numFmt numFmtId="184" formatCode="&quot;(&quot;General&quot;)&quot;"/>
    <numFmt numFmtId="185" formatCode="General&quot;년&quot;"/>
    <numFmt numFmtId="186" formatCode="General&quot;개월&quot;"/>
    <numFmt numFmtId="187" formatCode="#,##0.00_);[Red]\(#,##0.00\)"/>
    <numFmt numFmtId="188" formatCode="General&quot;개 현장&quot;"/>
    <numFmt numFmtId="189" formatCode="0_);[Red]\(0\)"/>
    <numFmt numFmtId="190" formatCode="0.00_);[Red]\(0.00\)"/>
    <numFmt numFmtId="191" formatCode="0.0_);[Red]\(0.0\)"/>
    <numFmt numFmtId="192" formatCode="0.000_);[Red]\(0.000\)"/>
    <numFmt numFmtId="193" formatCode="_-* #,##0.0_-;\-* #,##0.0_-;_-* &quot;-&quot;_-;_-@_-"/>
    <numFmt numFmtId="194" formatCode="0.0%"/>
    <numFmt numFmtId="195" formatCode="_-* #,##0.0_-;\-* #,##0.0_-;_-* &quot;-&quot;?_-;_-@_-"/>
    <numFmt numFmtId="196" formatCode="_-* #,##0.00_-;\-* #,##0.00_-;_-* &quot;-&quot;_-;_-@_-"/>
    <numFmt numFmtId="197" formatCode="yyyy&quot;년&quot;\ m&quot;월말&quot;;@"/>
    <numFmt numFmtId="198" formatCode="0.00;[Red]0.00"/>
    <numFmt numFmtId="199" formatCode="0.0000&quot;점 감점&quot;"/>
    <numFmt numFmtId="200" formatCode="General&quot;회&quot;"/>
    <numFmt numFmtId="201" formatCode="0.0000_);[Red]\(0.0000\)"/>
    <numFmt numFmtId="202" formatCode="0##\-####\-####"/>
    <numFmt numFmtId="203" formatCode="0.000"/>
    <numFmt numFmtId="204" formatCode="0_ "/>
    <numFmt numFmtId="205" formatCode="_-* #,##0_-;\-* #,##0_-;_-* &quot;-&quot;??_-;_-@_-"/>
    <numFmt numFmtId="206" formatCode="General&quot;주&quot;"/>
    <numFmt numFmtId="207" formatCode="General&quot;시간&quot;"/>
    <numFmt numFmtId="208" formatCode="_-* #,##0_-;\-* #,##0_-;_-* &quot;-&quot;?_-;_-@_-"/>
    <numFmt numFmtId="209" formatCode="0.000%"/>
    <numFmt numFmtId="210" formatCode="0.0000_ "/>
    <numFmt numFmtId="211" formatCode="0.0000&quot;점 상쇄&quot;"/>
    <numFmt numFmtId="212" formatCode="_-* #,##0.000_-;\-* #,##0.000_-;_-* &quot;-&quot;??_-;_-@_-"/>
    <numFmt numFmtId="213" formatCode="0.00000000"/>
  </numFmts>
  <fonts count="162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굴림"/>
      <family val="3"/>
      <charset val="129"/>
    </font>
    <font>
      <sz val="11"/>
      <color indexed="10"/>
      <name val="굴림"/>
      <family val="3"/>
      <charset val="129"/>
    </font>
    <font>
      <sz val="12"/>
      <name val="굴림"/>
      <family val="3"/>
      <charset val="129"/>
    </font>
    <font>
      <b/>
      <sz val="12"/>
      <color indexed="10"/>
      <name val="굴림"/>
      <family val="3"/>
      <charset val="129"/>
    </font>
    <font>
      <b/>
      <sz val="12"/>
      <name val="굴림"/>
      <family val="3"/>
      <charset val="129"/>
    </font>
    <font>
      <b/>
      <sz val="12"/>
      <name val="돋움"/>
      <family val="3"/>
      <charset val="129"/>
    </font>
    <font>
      <sz val="12"/>
      <color rgb="FFFF0000"/>
      <name val="굴림"/>
      <family val="3"/>
      <charset val="129"/>
    </font>
    <font>
      <sz val="12"/>
      <color indexed="10"/>
      <name val="굴림"/>
      <family val="3"/>
      <charset val="129"/>
    </font>
    <font>
      <sz val="12"/>
      <color indexed="17"/>
      <name val="굴림"/>
      <family val="3"/>
      <charset val="129"/>
    </font>
    <font>
      <b/>
      <sz val="12"/>
      <color indexed="17"/>
      <name val="굴림"/>
      <family val="3"/>
      <charset val="129"/>
    </font>
    <font>
      <b/>
      <sz val="12"/>
      <color indexed="17"/>
      <name val="돋움"/>
      <family val="3"/>
      <charset val="129"/>
    </font>
    <font>
      <b/>
      <sz val="12"/>
      <color indexed="10"/>
      <name val="돋움"/>
      <family val="3"/>
      <charset val="129"/>
    </font>
    <font>
      <sz val="11"/>
      <color indexed="10"/>
      <name val="돋움"/>
      <family val="3"/>
      <charset val="129"/>
    </font>
    <font>
      <sz val="11"/>
      <color indexed="12"/>
      <name val="굴림"/>
      <family val="3"/>
      <charset val="129"/>
    </font>
    <font>
      <b/>
      <sz val="11"/>
      <color indexed="12"/>
      <name val="굴림"/>
      <family val="3"/>
      <charset val="129"/>
    </font>
    <font>
      <b/>
      <sz val="12"/>
      <color indexed="12"/>
      <name val="굴림"/>
      <family val="3"/>
      <charset val="129"/>
    </font>
    <font>
      <sz val="11"/>
      <name val="신명조"/>
      <family val="3"/>
      <charset val="129"/>
    </font>
    <font>
      <b/>
      <sz val="24"/>
      <name val="신명조"/>
      <family val="3"/>
      <charset val="129"/>
    </font>
    <font>
      <sz val="24"/>
      <name val="신명조"/>
      <family val="3"/>
      <charset val="129"/>
    </font>
    <font>
      <sz val="12"/>
      <name val="신명조"/>
      <family val="3"/>
      <charset val="129"/>
    </font>
    <font>
      <sz val="12"/>
      <name val="돋움"/>
      <family val="3"/>
      <charset val="129"/>
    </font>
    <font>
      <b/>
      <sz val="18"/>
      <name val="신명조"/>
      <family val="3"/>
      <charset val="129"/>
    </font>
    <font>
      <b/>
      <sz val="12"/>
      <color indexed="12"/>
      <name val="휴먼명조,한컴돋움"/>
      <family val="3"/>
      <charset val="129"/>
    </font>
    <font>
      <sz val="11"/>
      <color indexed="12"/>
      <name val="돋움"/>
      <family val="3"/>
      <charset val="129"/>
    </font>
    <font>
      <sz val="11"/>
      <color theme="1"/>
      <name val="신명조"/>
      <family val="3"/>
      <charset val="129"/>
    </font>
    <font>
      <sz val="11"/>
      <name val="바탕"/>
      <family val="1"/>
      <charset val="129"/>
    </font>
    <font>
      <b/>
      <sz val="14"/>
      <name val="돋움"/>
      <family val="3"/>
      <charset val="129"/>
    </font>
    <font>
      <sz val="11"/>
      <name val="돋움체"/>
      <family val="3"/>
      <charset val="129"/>
    </font>
    <font>
      <sz val="13"/>
      <name val="바탕"/>
      <family val="1"/>
      <charset val="129"/>
    </font>
    <font>
      <b/>
      <sz val="10"/>
      <name val="굴림"/>
      <family val="3"/>
      <charset val="129"/>
    </font>
    <font>
      <b/>
      <sz val="11"/>
      <color theme="1"/>
      <name val="굴림"/>
      <family val="3"/>
      <charset val="129"/>
    </font>
    <font>
      <b/>
      <sz val="10"/>
      <color rgb="FF0000FF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9"/>
      <color indexed="81"/>
      <name val="돋움"/>
      <family val="3"/>
      <charset val="129"/>
    </font>
    <font>
      <sz val="10"/>
      <color theme="1"/>
      <name val="굴림"/>
      <family val="3"/>
      <charset val="129"/>
    </font>
    <font>
      <sz val="10"/>
      <color rgb="FF0000FF"/>
      <name val="굴림"/>
      <family val="3"/>
      <charset val="129"/>
    </font>
    <font>
      <sz val="9"/>
      <color indexed="81"/>
      <name val="Tahoma"/>
      <family val="2"/>
    </font>
    <font>
      <b/>
      <sz val="11"/>
      <color rgb="FFFF0000"/>
      <name val="신명조"/>
      <family val="3"/>
      <charset val="129"/>
    </font>
    <font>
      <sz val="11"/>
      <color theme="1"/>
      <name val="맑은 고딕"/>
      <family val="2"/>
      <charset val="129"/>
      <scheme val="minor"/>
    </font>
    <font>
      <sz val="12"/>
      <name val="신명조"/>
      <family val="1"/>
      <charset val="129"/>
    </font>
    <font>
      <b/>
      <sz val="12"/>
      <name val="신명조"/>
      <family val="1"/>
      <charset val="129"/>
    </font>
    <font>
      <b/>
      <sz val="11"/>
      <name val="신명조"/>
      <family val="1"/>
      <charset val="129"/>
    </font>
    <font>
      <b/>
      <sz val="20"/>
      <name val="신명조"/>
      <family val="1"/>
      <charset val="129"/>
    </font>
    <font>
      <b/>
      <sz val="11"/>
      <name val="돋움"/>
      <family val="3"/>
      <charset val="129"/>
    </font>
    <font>
      <b/>
      <sz val="16"/>
      <color indexed="81"/>
      <name val="Tahoma"/>
      <family val="2"/>
    </font>
    <font>
      <b/>
      <sz val="16"/>
      <color indexed="81"/>
      <name val="돋움"/>
      <family val="3"/>
      <charset val="129"/>
    </font>
    <font>
      <sz val="16"/>
      <color indexed="81"/>
      <name val="돋움"/>
      <family val="3"/>
      <charset val="129"/>
    </font>
    <font>
      <sz val="16"/>
      <color indexed="81"/>
      <name val="Tahoma"/>
      <family val="2"/>
    </font>
    <font>
      <b/>
      <sz val="12"/>
      <name val="신명조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돋움"/>
      <family val="3"/>
      <charset val="129"/>
    </font>
    <font>
      <b/>
      <sz val="11"/>
      <color indexed="81"/>
      <name val="돋움"/>
      <family val="3"/>
      <charset val="129"/>
    </font>
    <font>
      <b/>
      <sz val="36"/>
      <color indexed="81"/>
      <name val="돋움"/>
      <family val="3"/>
      <charset val="129"/>
    </font>
    <font>
      <b/>
      <sz val="10"/>
      <color indexed="81"/>
      <name val="돋움"/>
      <family val="3"/>
      <charset val="129"/>
    </font>
    <font>
      <b/>
      <sz val="11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돋움"/>
      <family val="3"/>
      <charset val="129"/>
    </font>
    <font>
      <b/>
      <sz val="12"/>
      <color indexed="81"/>
      <name val="돋움"/>
      <family val="3"/>
      <charset val="129"/>
    </font>
    <font>
      <b/>
      <sz val="11"/>
      <color theme="1"/>
      <name val="신명조"/>
      <family val="3"/>
      <charset val="129"/>
    </font>
    <font>
      <b/>
      <sz val="2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굴림"/>
      <family val="3"/>
      <charset val="129"/>
    </font>
    <font>
      <b/>
      <sz val="8.1"/>
      <color theme="1"/>
      <name val="굴림"/>
      <family val="3"/>
      <charset val="129"/>
    </font>
    <font>
      <sz val="8.1"/>
      <color theme="1"/>
      <name val="굴림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13"/>
      <color theme="1"/>
      <name val="신명조"/>
      <family val="3"/>
      <charset val="129"/>
    </font>
    <font>
      <b/>
      <sz val="12"/>
      <color theme="1"/>
      <name val="신명조"/>
      <family val="3"/>
      <charset val="129"/>
    </font>
    <font>
      <sz val="12"/>
      <color theme="1"/>
      <name val="신명조"/>
      <family val="3"/>
      <charset val="129"/>
    </font>
    <font>
      <b/>
      <sz val="10"/>
      <color rgb="FF0000FF"/>
      <name val="신명조"/>
      <family val="3"/>
      <charset val="129"/>
    </font>
    <font>
      <b/>
      <sz val="12"/>
      <color rgb="FF0000FF"/>
      <name val="신명조"/>
      <family val="3"/>
      <charset val="129"/>
    </font>
    <font>
      <b/>
      <sz val="11"/>
      <color rgb="FF0000FF"/>
      <name val="신명조"/>
      <family val="3"/>
      <charset val="129"/>
    </font>
    <font>
      <u/>
      <sz val="11"/>
      <color theme="10"/>
      <name val="맑은 고딕"/>
      <family val="2"/>
      <charset val="129"/>
      <scheme val="minor"/>
    </font>
    <font>
      <b/>
      <sz val="10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color rgb="FF0000FF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  <font>
      <b/>
      <sz val="8"/>
      <color rgb="FF0000FF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b/>
      <sz val="12"/>
      <color rgb="FF0000FF"/>
      <name val="굴림"/>
      <family val="3"/>
      <charset val="129"/>
    </font>
    <font>
      <sz val="10"/>
      <color rgb="FF0000FF"/>
      <name val="맑은 고딕"/>
      <family val="2"/>
      <charset val="129"/>
      <scheme val="minor"/>
    </font>
    <font>
      <b/>
      <sz val="16"/>
      <color rgb="FF0000FF"/>
      <name val="맑은 고딕"/>
      <family val="3"/>
      <charset val="129"/>
      <scheme val="minor"/>
    </font>
    <font>
      <b/>
      <sz val="10"/>
      <color indexed="8"/>
      <name val="굴림"/>
      <family val="3"/>
      <charset val="129"/>
    </font>
    <font>
      <sz val="8"/>
      <name val="맑은 고딕"/>
      <family val="3"/>
      <charset val="129"/>
    </font>
    <font>
      <b/>
      <sz val="18"/>
      <name val="굴림"/>
      <family val="3"/>
      <charset val="129"/>
    </font>
    <font>
      <b/>
      <sz val="10"/>
      <name val="맑은 고딕"/>
      <family val="3"/>
      <charset val="129"/>
      <scheme val="major"/>
    </font>
    <font>
      <b/>
      <sz val="11"/>
      <color rgb="FF000000"/>
      <name val="굴림"/>
      <family val="3"/>
      <charset val="129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20"/>
      <color rgb="FF0000FF"/>
      <name val="돋움"/>
      <family val="3"/>
      <charset val="129"/>
    </font>
    <font>
      <b/>
      <sz val="10"/>
      <color rgb="FF0000FF"/>
      <name val="맑은 고딕"/>
      <family val="3"/>
      <charset val="129"/>
    </font>
    <font>
      <b/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b/>
      <sz val="12"/>
      <color rgb="FF0000FF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b/>
      <sz val="16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b/>
      <sz val="11"/>
      <color rgb="FF0000FF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3"/>
      <name val="맑은 고딕"/>
      <family val="3"/>
      <charset val="129"/>
      <scheme val="major"/>
    </font>
    <font>
      <b/>
      <u/>
      <sz val="14"/>
      <color theme="1"/>
      <name val="맑은 고딕"/>
      <family val="3"/>
      <charset val="129"/>
      <scheme val="major"/>
    </font>
    <font>
      <b/>
      <sz val="14"/>
      <color rgb="FF0000FF"/>
      <name val="맑은 고딕"/>
      <family val="3"/>
      <charset val="129"/>
      <scheme val="major"/>
    </font>
    <font>
      <b/>
      <sz val="14"/>
      <color rgb="FFFF0000"/>
      <name val="맑은 고딕"/>
      <family val="3"/>
      <charset val="129"/>
      <scheme val="major"/>
    </font>
    <font>
      <sz val="14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4"/>
      <color indexed="10"/>
      <name val="맑은 고딕"/>
      <family val="3"/>
      <charset val="129"/>
      <scheme val="major"/>
    </font>
    <font>
      <sz val="14"/>
      <color rgb="FFFF0000"/>
      <name val="맑은 고딕"/>
      <family val="3"/>
      <charset val="129"/>
      <scheme val="major"/>
    </font>
    <font>
      <b/>
      <sz val="22"/>
      <color theme="1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b/>
      <sz val="11"/>
      <color theme="0"/>
      <name val="맑은 고딕"/>
      <family val="3"/>
      <charset val="129"/>
      <scheme val="major"/>
    </font>
    <font>
      <b/>
      <sz val="11"/>
      <color rgb="FF000000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20"/>
      <name val="맑은 고딕"/>
      <family val="3"/>
      <charset val="129"/>
      <scheme val="major"/>
    </font>
    <font>
      <b/>
      <sz val="20"/>
      <color theme="0"/>
      <name val="맑은 고딕"/>
      <family val="3"/>
      <charset val="129"/>
      <scheme val="major"/>
    </font>
    <font>
      <b/>
      <sz val="24"/>
      <color rgb="FFFF0000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b/>
      <sz val="11"/>
      <color indexed="8"/>
      <name val="맑은 고딕"/>
      <family val="3"/>
      <charset val="129"/>
      <scheme val="major"/>
    </font>
    <font>
      <b/>
      <sz val="11"/>
      <color indexed="10"/>
      <name val="맑은 고딕"/>
      <family val="3"/>
      <charset val="129"/>
      <scheme val="major"/>
    </font>
    <font>
      <b/>
      <u/>
      <sz val="11"/>
      <color rgb="FFFF0000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11"/>
      <color indexed="12"/>
      <name val="맑은 고딕"/>
      <family val="3"/>
      <charset val="129"/>
      <scheme val="major"/>
    </font>
    <font>
      <b/>
      <sz val="10"/>
      <color rgb="FF0000FF"/>
      <name val="맑은 고딕"/>
      <family val="3"/>
      <charset val="129"/>
      <scheme val="major"/>
    </font>
    <font>
      <sz val="11"/>
      <color rgb="FF0000FF"/>
      <name val="맑은 고딕"/>
      <family val="3"/>
      <charset val="129"/>
      <scheme val="major"/>
    </font>
    <font>
      <b/>
      <sz val="12"/>
      <color rgb="FF0000FF"/>
      <name val="맑은 고딕"/>
      <family val="3"/>
      <charset val="129"/>
      <scheme val="major"/>
    </font>
    <font>
      <b/>
      <sz val="11"/>
      <color indexed="12"/>
      <name val="맑은 고딕"/>
      <family val="3"/>
      <charset val="129"/>
      <scheme val="major"/>
    </font>
    <font>
      <b/>
      <sz val="12"/>
      <color rgb="FFFF0000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b/>
      <sz val="12"/>
      <color indexed="10"/>
      <name val="맑은 고딕"/>
      <family val="3"/>
      <charset val="129"/>
      <scheme val="major"/>
    </font>
    <font>
      <b/>
      <sz val="14"/>
      <color indexed="12"/>
      <name val="맑은 고딕"/>
      <family val="3"/>
      <charset val="129"/>
      <scheme val="major"/>
    </font>
    <font>
      <sz val="12"/>
      <color rgb="FF0000FF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ajor"/>
    </font>
    <font>
      <b/>
      <sz val="8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trike/>
      <sz val="11"/>
      <color rgb="FF0000FF"/>
      <name val="맑은 고딕"/>
      <family val="3"/>
      <charset val="129"/>
      <scheme val="major"/>
    </font>
    <font>
      <b/>
      <sz val="11"/>
      <name val="맑은 고딕"/>
      <family val="3"/>
      <charset val="129"/>
    </font>
    <font>
      <sz val="8"/>
      <color theme="1"/>
      <name val="굴림"/>
      <family val="3"/>
      <charset val="129"/>
    </font>
    <font>
      <sz val="13"/>
      <color theme="1"/>
      <name val="맑은 고딕"/>
      <family val="3"/>
      <charset val="129"/>
      <scheme val="major"/>
    </font>
    <font>
      <sz val="10.5"/>
      <color rgb="FFFF000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sz val="10"/>
      <color rgb="FFFF0000"/>
      <name val="굴림"/>
      <family val="3"/>
      <charset val="129"/>
    </font>
    <font>
      <sz val="11"/>
      <color indexed="12"/>
      <name val="신명조"/>
      <family val="3"/>
      <charset val="129"/>
    </font>
    <font>
      <sz val="8"/>
      <color rgb="FFFF0000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sz val="11"/>
      <color rgb="FFFF0000"/>
      <name val="바탕"/>
      <family val="1"/>
      <charset val="129"/>
    </font>
    <font>
      <b/>
      <sz val="11"/>
      <name val="바탕"/>
      <family val="1"/>
      <charset val="129"/>
    </font>
    <font>
      <b/>
      <sz val="12"/>
      <name val="바탕"/>
      <family val="1"/>
      <charset val="129"/>
    </font>
    <font>
      <b/>
      <sz val="12"/>
      <color rgb="FFFF0000"/>
      <name val="굴림"/>
      <family val="3"/>
      <charset val="129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0" fontId="1" fillId="0" borderId="0">
      <alignment vertical="center"/>
    </xf>
    <xf numFmtId="41" fontId="1" fillId="0" borderId="0" applyFont="0" applyFill="0" applyBorder="0" applyAlignment="0" applyProtection="0"/>
    <xf numFmtId="0" fontId="1" fillId="0" borderId="0"/>
    <xf numFmtId="41" fontId="42" fillId="0" borderId="0" applyFont="0" applyFill="0" applyBorder="0" applyAlignment="0" applyProtection="0">
      <alignment vertical="center"/>
    </xf>
    <xf numFmtId="0" fontId="53" fillId="0" borderId="0">
      <alignment vertical="center"/>
    </xf>
    <xf numFmtId="0" fontId="1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/>
  </cellStyleXfs>
  <cellXfs count="1250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49" fontId="4" fillId="0" borderId="0" xfId="1" applyNumberFormat="1" applyFont="1" applyAlignment="1">
      <alignment vertical="center"/>
    </xf>
    <xf numFmtId="49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49" fontId="11" fillId="0" borderId="0" xfId="1" applyNumberFormat="1" applyFont="1" applyAlignment="1">
      <alignment vertical="center"/>
    </xf>
    <xf numFmtId="0" fontId="7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49" fontId="5" fillId="0" borderId="0" xfId="1" applyNumberFormat="1" applyFont="1" applyAlignment="1">
      <alignment vertical="center"/>
    </xf>
    <xf numFmtId="0" fontId="16" fillId="0" borderId="0" xfId="1" applyFont="1" applyAlignment="1">
      <alignment vertical="center"/>
    </xf>
    <xf numFmtId="49" fontId="17" fillId="0" borderId="0" xfId="1" applyNumberFormat="1" applyFont="1" applyAlignment="1">
      <alignment vertical="center"/>
    </xf>
    <xf numFmtId="49" fontId="18" fillId="0" borderId="0" xfId="1" applyNumberFormat="1" applyFont="1" applyAlignment="1">
      <alignment vertical="center"/>
    </xf>
    <xf numFmtId="0" fontId="18" fillId="0" borderId="0" xfId="1" applyFont="1" applyAlignment="1">
      <alignment vertical="center"/>
    </xf>
    <xf numFmtId="49" fontId="19" fillId="0" borderId="0" xfId="1" applyNumberFormat="1" applyFont="1" applyAlignment="1">
      <alignment vertical="center"/>
    </xf>
    <xf numFmtId="0" fontId="1" fillId="0" borderId="0" xfId="1" applyAlignment="1">
      <alignment vertical="center"/>
    </xf>
    <xf numFmtId="49" fontId="10" fillId="0" borderId="0" xfId="1" applyNumberFormat="1" applyFont="1" applyAlignment="1">
      <alignment vertical="center"/>
    </xf>
    <xf numFmtId="49" fontId="12" fillId="0" borderId="0" xfId="1" applyNumberFormat="1" applyFont="1" applyAlignment="1">
      <alignment vertical="center"/>
    </xf>
    <xf numFmtId="0" fontId="12" fillId="0" borderId="0" xfId="1" applyFont="1" applyAlignment="1">
      <alignment vertical="center"/>
    </xf>
    <xf numFmtId="0" fontId="20" fillId="0" borderId="0" xfId="1" applyFont="1"/>
    <xf numFmtId="0" fontId="1" fillId="0" borderId="0" xfId="1"/>
    <xf numFmtId="0" fontId="23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26" fillId="0" borderId="0" xfId="1" applyFont="1" applyAlignment="1">
      <alignment vertical="center" wrapText="1"/>
    </xf>
    <xf numFmtId="0" fontId="27" fillId="0" borderId="0" xfId="1" applyFont="1"/>
    <xf numFmtId="0" fontId="26" fillId="0" borderId="0" xfId="1" applyFont="1" applyAlignment="1">
      <alignment horizontal="left" vertical="center" wrapText="1"/>
    </xf>
    <xf numFmtId="0" fontId="28" fillId="0" borderId="0" xfId="1" applyFont="1" applyAlignment="1">
      <alignment vertical="center"/>
    </xf>
    <xf numFmtId="0" fontId="29" fillId="0" borderId="0" xfId="1" applyFont="1"/>
    <xf numFmtId="0" fontId="31" fillId="0" borderId="0" xfId="1" applyFont="1" applyAlignment="1">
      <alignment vertical="center"/>
    </xf>
    <xf numFmtId="0" fontId="32" fillId="0" borderId="0" xfId="1" applyFont="1"/>
    <xf numFmtId="0" fontId="44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41" fontId="0" fillId="0" borderId="0" xfId="4" applyFont="1" applyAlignment="1">
      <alignment vertical="center"/>
    </xf>
    <xf numFmtId="41" fontId="43" fillId="0" borderId="0" xfId="4" applyFont="1" applyFill="1" applyBorder="1" applyAlignment="1">
      <alignment vertical="center"/>
    </xf>
    <xf numFmtId="41" fontId="44" fillId="0" borderId="0" xfId="4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 shrinkToFit="1"/>
    </xf>
    <xf numFmtId="41" fontId="45" fillId="0" borderId="0" xfId="4" applyFont="1" applyFill="1" applyBorder="1" applyAlignment="1">
      <alignment horizontal="center" vertical="center"/>
    </xf>
    <xf numFmtId="41" fontId="47" fillId="0" borderId="0" xfId="0" applyNumberFormat="1" applyFont="1" applyAlignment="1">
      <alignment horizontal="center" vertical="center" shrinkToFit="1"/>
    </xf>
    <xf numFmtId="0" fontId="46" fillId="0" borderId="0" xfId="0" applyFont="1" applyAlignment="1">
      <alignment vertical="center" shrinkToFit="1"/>
    </xf>
    <xf numFmtId="0" fontId="47" fillId="0" borderId="0" xfId="0" applyFont="1">
      <alignment vertical="center"/>
    </xf>
    <xf numFmtId="0" fontId="1" fillId="0" borderId="0" xfId="1" applyAlignment="1">
      <alignment horizontal="center" vertical="center"/>
    </xf>
    <xf numFmtId="0" fontId="52" fillId="0" borderId="0" xfId="1" applyFont="1" applyAlignment="1">
      <alignment vertical="center"/>
    </xf>
    <xf numFmtId="0" fontId="60" fillId="0" borderId="0" xfId="7" applyFont="1">
      <alignment vertical="center"/>
    </xf>
    <xf numFmtId="0" fontId="52" fillId="0" borderId="0" xfId="1" applyFont="1" applyAlignment="1">
      <alignment horizontal="left" vertical="center"/>
    </xf>
    <xf numFmtId="0" fontId="41" fillId="0" borderId="0" xfId="1" applyFont="1" applyAlignment="1">
      <alignment vertical="center"/>
    </xf>
    <xf numFmtId="0" fontId="62" fillId="0" borderId="0" xfId="1" applyFont="1" applyAlignment="1">
      <alignment vertical="center"/>
    </xf>
    <xf numFmtId="0" fontId="0" fillId="0" borderId="0" xfId="0" applyAlignment="1">
      <alignment vertical="center" wrapText="1"/>
    </xf>
    <xf numFmtId="0" fontId="28" fillId="0" borderId="0" xfId="1" applyFont="1"/>
    <xf numFmtId="0" fontId="28" fillId="0" borderId="0" xfId="1" applyFont="1" applyAlignment="1">
      <alignment horizontal="left" vertical="center"/>
    </xf>
    <xf numFmtId="0" fontId="70" fillId="0" borderId="0" xfId="1" applyFont="1" applyAlignment="1">
      <alignment vertical="center"/>
    </xf>
    <xf numFmtId="0" fontId="54" fillId="0" borderId="0" xfId="1" applyFont="1"/>
    <xf numFmtId="0" fontId="71" fillId="0" borderId="0" xfId="1" applyFont="1"/>
    <xf numFmtId="0" fontId="29" fillId="0" borderId="0" xfId="1" applyFont="1" applyAlignment="1">
      <alignment vertical="top"/>
    </xf>
    <xf numFmtId="0" fontId="77" fillId="0" borderId="0" xfId="3" applyFont="1">
      <alignment vertical="center"/>
    </xf>
    <xf numFmtId="0" fontId="76" fillId="0" borderId="0" xfId="3" applyFont="1" applyAlignment="1">
      <alignment horizontal="center" vertical="center"/>
    </xf>
    <xf numFmtId="176" fontId="65" fillId="3" borderId="2" xfId="3" applyNumberFormat="1" applyFont="1" applyFill="1" applyBorder="1" applyAlignment="1">
      <alignment horizontal="center" vertical="center"/>
    </xf>
    <xf numFmtId="14" fontId="34" fillId="0" borderId="0" xfId="3" applyNumberFormat="1" applyFont="1" applyAlignment="1">
      <alignment horizontal="center" vertical="center"/>
    </xf>
    <xf numFmtId="0" fontId="76" fillId="3" borderId="2" xfId="3" applyFont="1" applyFill="1" applyBorder="1" applyAlignment="1">
      <alignment horizontal="center" vertical="center" wrapText="1"/>
    </xf>
    <xf numFmtId="0" fontId="38" fillId="0" borderId="19" xfId="3" applyFont="1" applyBorder="1" applyAlignment="1">
      <alignment horizontal="center" vertical="center" wrapText="1"/>
    </xf>
    <xf numFmtId="0" fontId="38" fillId="0" borderId="21" xfId="3" applyFont="1" applyBorder="1" applyAlignment="1">
      <alignment horizontal="center" vertical="center" wrapText="1"/>
    </xf>
    <xf numFmtId="0" fontId="76" fillId="8" borderId="18" xfId="3" applyFont="1" applyFill="1" applyBorder="1" applyAlignment="1">
      <alignment horizontal="center" vertical="center" wrapText="1"/>
    </xf>
    <xf numFmtId="0" fontId="76" fillId="15" borderId="2" xfId="3" applyFont="1" applyFill="1" applyBorder="1" applyAlignment="1">
      <alignment horizontal="center" vertical="center" wrapText="1"/>
    </xf>
    <xf numFmtId="0" fontId="76" fillId="6" borderId="2" xfId="3" applyFont="1" applyFill="1" applyBorder="1" applyAlignment="1">
      <alignment horizontal="center" vertical="center" wrapText="1"/>
    </xf>
    <xf numFmtId="0" fontId="39" fillId="0" borderId="2" xfId="3" applyFont="1" applyBorder="1" applyAlignment="1">
      <alignment horizontal="center" vertical="center" wrapText="1"/>
    </xf>
    <xf numFmtId="0" fontId="39" fillId="0" borderId="4" xfId="3" applyFont="1" applyBorder="1" applyAlignment="1">
      <alignment horizontal="center" vertical="center" shrinkToFit="1"/>
    </xf>
    <xf numFmtId="178" fontId="39" fillId="3" borderId="4" xfId="3" applyNumberFormat="1" applyFont="1" applyFill="1" applyBorder="1" applyAlignment="1">
      <alignment horizontal="center" vertical="center" wrapText="1"/>
    </xf>
    <xf numFmtId="177" fontId="39" fillId="3" borderId="2" xfId="3" applyNumberFormat="1" applyFont="1" applyFill="1" applyBorder="1" applyAlignment="1">
      <alignment horizontal="center" vertical="center" wrapText="1"/>
    </xf>
    <xf numFmtId="9" fontId="76" fillId="2" borderId="2" xfId="2" applyFont="1" applyFill="1" applyBorder="1" applyAlignment="1">
      <alignment horizontal="center" vertical="center"/>
    </xf>
    <xf numFmtId="0" fontId="38" fillId="0" borderId="0" xfId="3" applyFont="1">
      <alignment vertical="center"/>
    </xf>
    <xf numFmtId="0" fontId="78" fillId="0" borderId="0" xfId="0" applyFont="1">
      <alignment vertical="center"/>
    </xf>
    <xf numFmtId="0" fontId="76" fillId="0" borderId="0" xfId="3" applyFont="1" applyAlignment="1">
      <alignment horizontal="right" vertical="center"/>
    </xf>
    <xf numFmtId="199" fontId="79" fillId="0" borderId="2" xfId="3" applyNumberFormat="1" applyFont="1" applyBorder="1" applyAlignment="1">
      <alignment horizontal="center" vertical="center" wrapText="1"/>
    </xf>
    <xf numFmtId="200" fontId="39" fillId="3" borderId="2" xfId="3" applyNumberFormat="1" applyFont="1" applyFill="1" applyBorder="1" applyAlignment="1">
      <alignment horizontal="center" vertical="center" wrapText="1"/>
    </xf>
    <xf numFmtId="0" fontId="82" fillId="0" borderId="0" xfId="0" applyFont="1">
      <alignment vertical="center"/>
    </xf>
    <xf numFmtId="0" fontId="84" fillId="0" borderId="0" xfId="0" applyFont="1" applyAlignment="1">
      <alignment horizontal="center" vertical="center"/>
    </xf>
    <xf numFmtId="201" fontId="76" fillId="7" borderId="29" xfId="3" applyNumberFormat="1" applyFont="1" applyFill="1" applyBorder="1" applyAlignment="1">
      <alignment horizontal="center" vertical="center" wrapText="1"/>
    </xf>
    <xf numFmtId="201" fontId="76" fillId="0" borderId="0" xfId="3" applyNumberFormat="1" applyFont="1" applyAlignment="1">
      <alignment horizontal="center" vertical="center"/>
    </xf>
    <xf numFmtId="176" fontId="65" fillId="0" borderId="0" xfId="3" applyNumberFormat="1" applyFont="1" applyAlignment="1">
      <alignment horizontal="center" vertical="center"/>
    </xf>
    <xf numFmtId="0" fontId="76" fillId="9" borderId="2" xfId="3" applyFont="1" applyFill="1" applyBorder="1" applyAlignment="1">
      <alignment horizontal="center" vertical="center" wrapText="1"/>
    </xf>
    <xf numFmtId="0" fontId="82" fillId="0" borderId="0" xfId="0" applyFont="1" applyAlignment="1">
      <alignment horizontal="center" vertical="center"/>
    </xf>
    <xf numFmtId="201" fontId="76" fillId="9" borderId="2" xfId="3" applyNumberFormat="1" applyFont="1" applyFill="1" applyBorder="1" applyAlignment="1">
      <alignment horizontal="center" vertical="center" wrapText="1"/>
    </xf>
    <xf numFmtId="201" fontId="38" fillId="3" borderId="2" xfId="3" applyNumberFormat="1" applyFont="1" applyFill="1" applyBorder="1" applyAlignment="1">
      <alignment horizontal="center" vertical="center" wrapText="1"/>
    </xf>
    <xf numFmtId="201" fontId="38" fillId="2" borderId="2" xfId="3" applyNumberFormat="1" applyFont="1" applyFill="1" applyBorder="1" applyAlignment="1">
      <alignment horizontal="center" vertical="center"/>
    </xf>
    <xf numFmtId="201" fontId="38" fillId="2" borderId="2" xfId="3" applyNumberFormat="1" applyFont="1" applyFill="1" applyBorder="1" applyAlignment="1">
      <alignment horizontal="center" vertical="center" wrapText="1"/>
    </xf>
    <xf numFmtId="201" fontId="76" fillId="4" borderId="29" xfId="3" applyNumberFormat="1" applyFont="1" applyFill="1" applyBorder="1" applyAlignment="1">
      <alignment horizontal="center" vertical="center" wrapText="1"/>
    </xf>
    <xf numFmtId="201" fontId="76" fillId="4" borderId="1" xfId="3" applyNumberFormat="1" applyFont="1" applyFill="1" applyBorder="1" applyAlignment="1">
      <alignment horizontal="center" vertical="center" wrapText="1"/>
    </xf>
    <xf numFmtId="201" fontId="38" fillId="3" borderId="19" xfId="3" applyNumberFormat="1" applyFont="1" applyFill="1" applyBorder="1" applyAlignment="1">
      <alignment horizontal="center" vertical="center" wrapText="1"/>
    </xf>
    <xf numFmtId="201" fontId="38" fillId="3" borderId="22" xfId="3" applyNumberFormat="1" applyFont="1" applyFill="1" applyBorder="1" applyAlignment="1">
      <alignment horizontal="center" vertical="center" wrapText="1"/>
    </xf>
    <xf numFmtId="201" fontId="76" fillId="8" borderId="19" xfId="3" applyNumberFormat="1" applyFont="1" applyFill="1" applyBorder="1" applyAlignment="1">
      <alignment horizontal="center" vertical="center" wrapText="1"/>
    </xf>
    <xf numFmtId="201" fontId="76" fillId="15" borderId="2" xfId="3" applyNumberFormat="1" applyFont="1" applyFill="1" applyBorder="1" applyAlignment="1">
      <alignment horizontal="center" vertical="center" wrapText="1"/>
    </xf>
    <xf numFmtId="201" fontId="76" fillId="3" borderId="1" xfId="3" applyNumberFormat="1" applyFont="1" applyFill="1" applyBorder="1" applyAlignment="1">
      <alignment horizontal="center" vertical="center" wrapText="1"/>
    </xf>
    <xf numFmtId="201" fontId="76" fillId="8" borderId="2" xfId="3" applyNumberFormat="1" applyFont="1" applyFill="1" applyBorder="1" applyAlignment="1">
      <alignment horizontal="center" vertical="center" wrapText="1"/>
    </xf>
    <xf numFmtId="201" fontId="78" fillId="0" borderId="0" xfId="0" applyNumberFormat="1" applyFont="1">
      <alignment vertical="center"/>
    </xf>
    <xf numFmtId="0" fontId="64" fillId="0" borderId="0" xfId="0" applyFont="1" applyAlignment="1">
      <alignment vertical="center" wrapText="1"/>
    </xf>
    <xf numFmtId="183" fontId="83" fillId="5" borderId="0" xfId="3" applyNumberFormat="1" applyFont="1" applyFill="1" applyAlignment="1">
      <alignment horizontal="center" vertical="center"/>
    </xf>
    <xf numFmtId="0" fontId="86" fillId="0" borderId="0" xfId="3" applyFont="1" applyAlignment="1">
      <alignment horizontal="center" vertical="center" wrapText="1"/>
    </xf>
    <xf numFmtId="0" fontId="1" fillId="0" borderId="0" xfId="1" applyAlignment="1">
      <alignment horizontal="center"/>
    </xf>
    <xf numFmtId="202" fontId="1" fillId="0" borderId="0" xfId="1" applyNumberFormat="1" applyAlignment="1">
      <alignment horizontal="center" wrapText="1"/>
    </xf>
    <xf numFmtId="0" fontId="90" fillId="17" borderId="2" xfId="8" applyFont="1" applyFill="1" applyBorder="1" applyAlignment="1">
      <alignment horizontal="center" vertical="center" wrapText="1"/>
    </xf>
    <xf numFmtId="0" fontId="47" fillId="17" borderId="2" xfId="1" applyFont="1" applyFill="1" applyBorder="1" applyAlignment="1">
      <alignment horizontal="center" vertical="center"/>
    </xf>
    <xf numFmtId="202" fontId="47" fillId="17" borderId="2" xfId="1" applyNumberFormat="1" applyFont="1" applyFill="1" applyBorder="1" applyAlignment="1">
      <alignment horizontal="center" vertical="center" wrapText="1"/>
    </xf>
    <xf numFmtId="0" fontId="91" fillId="0" borderId="0" xfId="1" applyFont="1" applyAlignment="1">
      <alignment vertical="center"/>
    </xf>
    <xf numFmtId="0" fontId="1" fillId="13" borderId="0" xfId="1" applyFill="1" applyAlignment="1">
      <alignment horizontal="center"/>
    </xf>
    <xf numFmtId="0" fontId="91" fillId="0" borderId="0" xfId="1" applyFont="1" applyAlignment="1">
      <alignment vertical="center" wrapText="1"/>
    </xf>
    <xf numFmtId="0" fontId="1" fillId="0" borderId="0" xfId="1" applyAlignment="1">
      <alignment wrapText="1"/>
    </xf>
    <xf numFmtId="0" fontId="38" fillId="3" borderId="4" xfId="3" applyFont="1" applyFill="1" applyBorder="1" applyAlignment="1">
      <alignment horizontal="center" vertical="center" wrapText="1"/>
    </xf>
    <xf numFmtId="0" fontId="94" fillId="0" borderId="0" xfId="1" applyFont="1"/>
    <xf numFmtId="0" fontId="97" fillId="0" borderId="0" xfId="0" applyFont="1" applyAlignment="1">
      <alignment horizontal="center" vertical="center"/>
    </xf>
    <xf numFmtId="2" fontId="38" fillId="0" borderId="2" xfId="3" applyNumberFormat="1" applyFont="1" applyBorder="1" applyAlignment="1">
      <alignment horizontal="center" vertical="center" wrapText="1"/>
    </xf>
    <xf numFmtId="0" fontId="85" fillId="0" borderId="0" xfId="0" applyFont="1" applyAlignment="1">
      <alignment horizontal="center" vertical="center"/>
    </xf>
    <xf numFmtId="0" fontId="38" fillId="0" borderId="2" xfId="3" applyFont="1" applyBorder="1" applyAlignment="1">
      <alignment horizontal="center" vertical="center" wrapText="1"/>
    </xf>
    <xf numFmtId="0" fontId="82" fillId="0" borderId="0" xfId="0" applyFont="1" applyAlignment="1">
      <alignment horizontal="center" vertical="center"/>
    </xf>
    <xf numFmtId="201" fontId="76" fillId="7" borderId="1" xfId="3" applyNumberFormat="1" applyFont="1" applyFill="1" applyBorder="1" applyAlignment="1">
      <alignment horizontal="center" vertical="center" wrapText="1"/>
    </xf>
    <xf numFmtId="0" fontId="85" fillId="0" borderId="0" xfId="0" applyFont="1" applyAlignment="1">
      <alignment vertical="center"/>
    </xf>
    <xf numFmtId="0" fontId="76" fillId="0" borderId="1" xfId="3" applyFont="1" applyBorder="1" applyAlignment="1">
      <alignment horizontal="center" vertical="center" wrapText="1"/>
    </xf>
    <xf numFmtId="0" fontId="36" fillId="0" borderId="0" xfId="3" applyFont="1" applyBorder="1" applyAlignment="1">
      <alignment horizontal="left" vertical="center"/>
    </xf>
    <xf numFmtId="0" fontId="33" fillId="18" borderId="69" xfId="3" applyFont="1" applyFill="1" applyBorder="1" applyAlignment="1">
      <alignment horizontal="center" vertical="center" wrapText="1"/>
    </xf>
    <xf numFmtId="201" fontId="33" fillId="18" borderId="69" xfId="3" applyNumberFormat="1" applyFont="1" applyFill="1" applyBorder="1" applyAlignment="1">
      <alignment horizontal="center" vertical="center" wrapText="1"/>
    </xf>
    <xf numFmtId="201" fontId="33" fillId="18" borderId="45" xfId="3" applyNumberFormat="1" applyFont="1" applyFill="1" applyBorder="1" applyAlignment="1">
      <alignment horizontal="center" vertical="center" wrapText="1"/>
    </xf>
    <xf numFmtId="0" fontId="35" fillId="0" borderId="32" xfId="3" applyFont="1" applyBorder="1" applyAlignment="1">
      <alignment horizontal="center" vertical="center" wrapText="1"/>
    </xf>
    <xf numFmtId="0" fontId="76" fillId="13" borderId="66" xfId="3" quotePrefix="1" applyFont="1" applyFill="1" applyBorder="1" applyAlignment="1">
      <alignment horizontal="center" vertical="center" wrapText="1"/>
    </xf>
    <xf numFmtId="201" fontId="38" fillId="3" borderId="66" xfId="0" applyNumberFormat="1" applyFont="1" applyFill="1" applyBorder="1" applyAlignment="1">
      <alignment horizontal="center" vertical="center"/>
    </xf>
    <xf numFmtId="201" fontId="38" fillId="2" borderId="67" xfId="0" applyNumberFormat="1" applyFont="1" applyFill="1" applyBorder="1" applyAlignment="1">
      <alignment horizontal="center" vertical="center"/>
    </xf>
    <xf numFmtId="0" fontId="74" fillId="0" borderId="0" xfId="1" applyFont="1" applyAlignment="1">
      <alignment vertical="top"/>
    </xf>
    <xf numFmtId="0" fontId="102" fillId="0" borderId="0" xfId="1" applyFont="1"/>
    <xf numFmtId="0" fontId="104" fillId="0" borderId="0" xfId="1" applyFont="1" applyAlignment="1">
      <alignment horizontal="center" vertical="center"/>
    </xf>
    <xf numFmtId="0" fontId="105" fillId="0" borderId="0" xfId="1" applyFont="1"/>
    <xf numFmtId="0" fontId="89" fillId="0" borderId="58" xfId="1" applyFont="1" applyBorder="1" applyAlignment="1">
      <alignment horizontal="center" vertical="center"/>
    </xf>
    <xf numFmtId="0" fontId="107" fillId="3" borderId="60" xfId="1" applyFont="1" applyFill="1" applyBorder="1" applyAlignment="1">
      <alignment horizontal="center" vertical="center"/>
    </xf>
    <xf numFmtId="0" fontId="105" fillId="0" borderId="37" xfId="1" applyFont="1" applyBorder="1" applyAlignment="1">
      <alignment horizontal="center" vertical="center" wrapText="1"/>
    </xf>
    <xf numFmtId="0" fontId="105" fillId="0" borderId="38" xfId="1" applyFont="1" applyBorder="1" applyAlignment="1">
      <alignment horizontal="center" vertical="center"/>
    </xf>
    <xf numFmtId="0" fontId="105" fillId="0" borderId="38" xfId="1" applyFont="1" applyBorder="1" applyAlignment="1">
      <alignment horizontal="center" vertical="center" wrapText="1"/>
    </xf>
    <xf numFmtId="0" fontId="105" fillId="0" borderId="39" xfId="1" applyFont="1" applyBorder="1" applyAlignment="1">
      <alignment horizontal="center" vertical="center"/>
    </xf>
    <xf numFmtId="0" fontId="107" fillId="0" borderId="2" xfId="1" applyFont="1" applyBorder="1" applyAlignment="1">
      <alignment horizontal="center" vertical="center"/>
    </xf>
    <xf numFmtId="0" fontId="107" fillId="3" borderId="2" xfId="1" applyFont="1" applyFill="1" applyBorder="1" applyAlignment="1">
      <alignment horizontal="center" vertical="center" shrinkToFit="1"/>
    </xf>
    <xf numFmtId="0" fontId="107" fillId="3" borderId="4" xfId="1" applyFont="1" applyFill="1" applyBorder="1" applyAlignment="1">
      <alignment horizontal="center" vertical="center" shrinkToFit="1"/>
    </xf>
    <xf numFmtId="0" fontId="107" fillId="3" borderId="24" xfId="1" applyFont="1" applyFill="1" applyBorder="1" applyAlignment="1">
      <alignment horizontal="center" vertical="center" shrinkToFit="1"/>
    </xf>
    <xf numFmtId="0" fontId="105" fillId="0" borderId="40" xfId="1" applyFont="1" applyBorder="1" applyAlignment="1">
      <alignment horizontal="center" vertical="center"/>
    </xf>
    <xf numFmtId="0" fontId="105" fillId="3" borderId="2" xfId="1" applyFont="1" applyFill="1" applyBorder="1" applyAlignment="1">
      <alignment horizontal="center" vertical="center"/>
    </xf>
    <xf numFmtId="0" fontId="105" fillId="3" borderId="2" xfId="1" applyFont="1" applyFill="1" applyBorder="1" applyAlignment="1">
      <alignment horizontal="center" vertical="center" wrapText="1"/>
    </xf>
    <xf numFmtId="9" fontId="107" fillId="3" borderId="2" xfId="2" applyFont="1" applyFill="1" applyBorder="1" applyAlignment="1">
      <alignment horizontal="center" vertical="center"/>
    </xf>
    <xf numFmtId="9" fontId="107" fillId="3" borderId="41" xfId="2" applyFont="1" applyFill="1" applyBorder="1" applyAlignment="1">
      <alignment horizontal="center" vertical="center"/>
    </xf>
    <xf numFmtId="9" fontId="102" fillId="0" borderId="0" xfId="1" applyNumberFormat="1" applyFont="1"/>
    <xf numFmtId="0" fontId="105" fillId="0" borderId="44" xfId="1" applyFont="1" applyBorder="1" applyAlignment="1">
      <alignment horizontal="center" vertical="center" wrapText="1"/>
    </xf>
    <xf numFmtId="0" fontId="105" fillId="3" borderId="29" xfId="1" applyFont="1" applyFill="1" applyBorder="1" applyAlignment="1">
      <alignment horizontal="center" vertical="center"/>
    </xf>
    <xf numFmtId="0" fontId="107" fillId="0" borderId="2" xfId="1" applyFont="1" applyBorder="1" applyAlignment="1">
      <alignment horizontal="center" vertical="center" wrapText="1"/>
    </xf>
    <xf numFmtId="41" fontId="107" fillId="3" borderId="2" xfId="6" applyFont="1" applyFill="1" applyBorder="1" applyAlignment="1">
      <alignment horizontal="center" vertical="center"/>
    </xf>
    <xf numFmtId="0" fontId="102" fillId="0" borderId="0" xfId="1" applyFont="1" applyAlignment="1">
      <alignment vertical="top"/>
    </xf>
    <xf numFmtId="0" fontId="108" fillId="0" borderId="0" xfId="1" applyFont="1" applyAlignment="1">
      <alignment vertical="top"/>
    </xf>
    <xf numFmtId="0" fontId="107" fillId="0" borderId="29" xfId="1" applyFont="1" applyBorder="1" applyAlignment="1">
      <alignment horizontal="center" vertical="center" wrapText="1"/>
    </xf>
    <xf numFmtId="9" fontId="107" fillId="3" borderId="29" xfId="2" applyFont="1" applyFill="1" applyBorder="1" applyAlignment="1">
      <alignment horizontal="center" vertical="center"/>
    </xf>
    <xf numFmtId="9" fontId="107" fillId="3" borderId="46" xfId="2" applyFont="1" applyFill="1" applyBorder="1" applyAlignment="1">
      <alignment horizontal="center" vertical="center"/>
    </xf>
    <xf numFmtId="0" fontId="102" fillId="0" borderId="0" xfId="1" applyFont="1" applyAlignment="1">
      <alignment vertical="center"/>
    </xf>
    <xf numFmtId="0" fontId="110" fillId="0" borderId="0" xfId="1" applyFont="1"/>
    <xf numFmtId="0" fontId="115" fillId="0" borderId="0" xfId="1" applyFont="1" applyAlignment="1">
      <alignment vertical="center"/>
    </xf>
    <xf numFmtId="0" fontId="104" fillId="0" borderId="0" xfId="1" applyFont="1" applyAlignment="1">
      <alignment vertical="center"/>
    </xf>
    <xf numFmtId="0" fontId="118" fillId="0" borderId="0" xfId="0" applyFont="1">
      <alignment vertical="center"/>
    </xf>
    <xf numFmtId="0" fontId="93" fillId="0" borderId="0" xfId="7" applyFont="1">
      <alignment vertical="center"/>
    </xf>
    <xf numFmtId="0" fontId="121" fillId="0" borderId="2" xfId="7" applyFont="1" applyBorder="1" applyAlignment="1">
      <alignment horizontal="center" vertical="center"/>
    </xf>
    <xf numFmtId="0" fontId="93" fillId="2" borderId="2" xfId="7" applyFont="1" applyFill="1" applyBorder="1" applyAlignment="1">
      <alignment horizontal="center" vertical="center"/>
    </xf>
    <xf numFmtId="0" fontId="102" fillId="3" borderId="2" xfId="1" applyFont="1" applyFill="1" applyBorder="1" applyAlignment="1">
      <alignment horizontal="center" vertical="center" shrinkToFit="1"/>
    </xf>
    <xf numFmtId="0" fontId="102" fillId="3" borderId="2" xfId="1" applyFont="1" applyFill="1" applyBorder="1" applyAlignment="1">
      <alignment horizontal="center" vertical="center"/>
    </xf>
    <xf numFmtId="0" fontId="102" fillId="3" borderId="2" xfId="1" applyFont="1" applyFill="1" applyBorder="1" applyAlignment="1">
      <alignment horizontal="center" vertical="center" wrapText="1"/>
    </xf>
    <xf numFmtId="0" fontId="102" fillId="3" borderId="2" xfId="1" applyFont="1" applyFill="1" applyBorder="1" applyAlignment="1">
      <alignment horizontal="center" vertical="center" wrapText="1" shrinkToFit="1"/>
    </xf>
    <xf numFmtId="0" fontId="106" fillId="0" borderId="0" xfId="7" applyFont="1" applyAlignment="1">
      <alignment horizontal="centerContinuous" vertical="center"/>
    </xf>
    <xf numFmtId="0" fontId="121" fillId="0" borderId="0" xfId="7" applyFont="1" applyAlignment="1">
      <alignment horizontal="centerContinuous" vertical="center"/>
    </xf>
    <xf numFmtId="0" fontId="105" fillId="0" borderId="38" xfId="7" applyFont="1" applyBorder="1" applyAlignment="1">
      <alignment horizontal="center" vertical="center"/>
    </xf>
    <xf numFmtId="0" fontId="121" fillId="0" borderId="38" xfId="7" applyFont="1" applyBorder="1" applyAlignment="1">
      <alignment horizontal="center" vertical="center"/>
    </xf>
    <xf numFmtId="0" fontId="121" fillId="0" borderId="39" xfId="7" applyFont="1" applyBorder="1" applyAlignment="1">
      <alignment horizontal="center" vertical="center"/>
    </xf>
    <xf numFmtId="0" fontId="102" fillId="3" borderId="41" xfId="1" applyFont="1" applyFill="1" applyBorder="1" applyAlignment="1">
      <alignment horizontal="center" vertical="center" shrinkToFit="1"/>
    </xf>
    <xf numFmtId="0" fontId="102" fillId="3" borderId="24" xfId="1" applyFont="1" applyFill="1" applyBorder="1" applyAlignment="1">
      <alignment horizontal="center" vertical="center" shrinkToFit="1"/>
    </xf>
    <xf numFmtId="0" fontId="93" fillId="0" borderId="0" xfId="0" applyFont="1">
      <alignment vertical="center"/>
    </xf>
    <xf numFmtId="0" fontId="102" fillId="0" borderId="0" xfId="0" applyFont="1">
      <alignment vertical="center"/>
    </xf>
    <xf numFmtId="0" fontId="115" fillId="0" borderId="0" xfId="0" applyFont="1">
      <alignment vertical="center"/>
    </xf>
    <xf numFmtId="0" fontId="104" fillId="0" borderId="0" xfId="0" applyFont="1" applyAlignment="1">
      <alignment horizontal="center" vertical="center"/>
    </xf>
    <xf numFmtId="0" fontId="122" fillId="10" borderId="2" xfId="0" applyFont="1" applyFill="1" applyBorder="1" applyAlignment="1">
      <alignment horizontal="center" vertical="center" wrapText="1"/>
    </xf>
    <xf numFmtId="0" fontId="123" fillId="12" borderId="2" xfId="0" applyFont="1" applyFill="1" applyBorder="1" applyAlignment="1">
      <alignment horizontal="center" vertical="center" wrapText="1"/>
    </xf>
    <xf numFmtId="0" fontId="89" fillId="0" borderId="2" xfId="0" applyFont="1" applyBorder="1" applyAlignment="1">
      <alignment horizontal="center" vertical="center" shrinkToFit="1"/>
    </xf>
    <xf numFmtId="14" fontId="89" fillId="2" borderId="2" xfId="0" applyNumberFormat="1" applyFont="1" applyFill="1" applyBorder="1" applyAlignment="1">
      <alignment horizontal="center" vertical="center"/>
    </xf>
    <xf numFmtId="0" fontId="124" fillId="2" borderId="2" xfId="0" applyFont="1" applyFill="1" applyBorder="1" applyAlignment="1">
      <alignment horizontal="center" vertical="center" shrinkToFit="1"/>
    </xf>
    <xf numFmtId="181" fontId="124" fillId="2" borderId="2" xfId="0" applyNumberFormat="1" applyFont="1" applyFill="1" applyBorder="1" applyAlignment="1">
      <alignment horizontal="right" vertical="center" wrapText="1"/>
    </xf>
    <xf numFmtId="191" fontId="124" fillId="2" borderId="2" xfId="0" applyNumberFormat="1" applyFont="1" applyFill="1" applyBorder="1" applyAlignment="1">
      <alignment horizontal="center" vertical="center" wrapText="1"/>
    </xf>
    <xf numFmtId="194" fontId="124" fillId="2" borderId="2" xfId="0" applyNumberFormat="1" applyFont="1" applyFill="1" applyBorder="1" applyAlignment="1">
      <alignment horizontal="center" vertical="center" wrapText="1"/>
    </xf>
    <xf numFmtId="203" fontId="115" fillId="2" borderId="2" xfId="0" applyNumberFormat="1" applyFont="1" applyFill="1" applyBorder="1" applyAlignment="1">
      <alignment horizontal="center" vertical="center"/>
    </xf>
    <xf numFmtId="14" fontId="125" fillId="0" borderId="0" xfId="0" applyNumberFormat="1" applyFont="1" applyAlignment="1">
      <alignment horizontal="center" vertical="center"/>
    </xf>
    <xf numFmtId="2" fontId="115" fillId="2" borderId="2" xfId="0" applyNumberFormat="1" applyFont="1" applyFill="1" applyBorder="1" applyAlignment="1">
      <alignment horizontal="center" vertical="center"/>
    </xf>
    <xf numFmtId="193" fontId="124" fillId="2" borderId="2" xfId="0" applyNumberFormat="1" applyFont="1" applyFill="1" applyBorder="1" applyAlignment="1">
      <alignment horizontal="center" vertical="center" wrapText="1"/>
    </xf>
    <xf numFmtId="0" fontId="124" fillId="2" borderId="2" xfId="0" applyFont="1" applyFill="1" applyBorder="1" applyAlignment="1">
      <alignment horizontal="center" vertical="center" wrapText="1"/>
    </xf>
    <xf numFmtId="43" fontId="124" fillId="2" borderId="2" xfId="0" applyNumberFormat="1" applyFont="1" applyFill="1" applyBorder="1" applyAlignment="1">
      <alignment horizontal="center" vertical="center" wrapText="1"/>
    </xf>
    <xf numFmtId="181" fontId="104" fillId="2" borderId="2" xfId="0" applyNumberFormat="1" applyFont="1" applyFill="1" applyBorder="1" applyAlignment="1">
      <alignment horizontal="center" vertical="center"/>
    </xf>
    <xf numFmtId="0" fontId="126" fillId="0" borderId="0" xfId="0" applyFont="1">
      <alignment vertical="center"/>
    </xf>
    <xf numFmtId="0" fontId="126" fillId="0" borderId="0" xfId="0" applyFont="1" applyAlignment="1">
      <alignment vertical="center" shrinkToFit="1"/>
    </xf>
    <xf numFmtId="0" fontId="127" fillId="12" borderId="0" xfId="0" applyFont="1" applyFill="1" applyAlignment="1">
      <alignment horizontal="center" vertical="center" shrinkToFit="1"/>
    </xf>
    <xf numFmtId="181" fontId="127" fillId="12" borderId="0" xfId="0" applyNumberFormat="1" applyFont="1" applyFill="1" applyAlignment="1">
      <alignment horizontal="center" vertical="center" shrinkToFit="1"/>
    </xf>
    <xf numFmtId="0" fontId="125" fillId="0" borderId="2" xfId="0" applyFont="1" applyBorder="1" applyAlignment="1">
      <alignment horizontal="center" vertical="center" shrinkToFit="1"/>
    </xf>
    <xf numFmtId="0" fontId="125" fillId="0" borderId="2" xfId="0" applyFont="1" applyBorder="1" applyAlignment="1">
      <alignment horizontal="center" vertical="center"/>
    </xf>
    <xf numFmtId="0" fontId="104" fillId="0" borderId="2" xfId="0" applyFont="1" applyBorder="1" applyAlignment="1">
      <alignment horizontal="center" vertical="center"/>
    </xf>
    <xf numFmtId="0" fontId="125" fillId="3" borderId="2" xfId="0" applyFont="1" applyFill="1" applyBorder="1" applyAlignment="1">
      <alignment horizontal="center" vertical="center"/>
    </xf>
    <xf numFmtId="14" fontId="125" fillId="2" borderId="2" xfId="0" applyNumberFormat="1" applyFont="1" applyFill="1" applyBorder="1" applyAlignment="1">
      <alignment horizontal="center" vertical="center"/>
    </xf>
    <xf numFmtId="14" fontId="125" fillId="3" borderId="2" xfId="0" applyNumberFormat="1" applyFont="1" applyFill="1" applyBorder="1" applyAlignment="1">
      <alignment horizontal="center" vertical="center"/>
    </xf>
    <xf numFmtId="41" fontId="125" fillId="3" borderId="2" xfId="6" applyFont="1" applyFill="1" applyBorder="1" applyAlignment="1">
      <alignment horizontal="center" vertical="center"/>
    </xf>
    <xf numFmtId="41" fontId="125" fillId="2" borderId="2" xfId="6" applyFont="1" applyFill="1" applyBorder="1" applyAlignment="1">
      <alignment horizontal="center" vertical="center"/>
    </xf>
    <xf numFmtId="2" fontId="125" fillId="3" borderId="2" xfId="0" applyNumberFormat="1" applyFont="1" applyFill="1" applyBorder="1" applyAlignment="1">
      <alignment horizontal="center" vertical="center"/>
    </xf>
    <xf numFmtId="205" fontId="125" fillId="2" borderId="2" xfId="0" applyNumberFormat="1" applyFont="1" applyFill="1" applyBorder="1" applyAlignment="1">
      <alignment horizontal="center" vertical="center"/>
    </xf>
    <xf numFmtId="0" fontId="125" fillId="3" borderId="2" xfId="0" applyFont="1" applyFill="1" applyBorder="1" applyAlignment="1">
      <alignment horizontal="center" vertical="center" wrapText="1"/>
    </xf>
    <xf numFmtId="41" fontId="125" fillId="2" borderId="2" xfId="0" applyNumberFormat="1" applyFont="1" applyFill="1" applyBorder="1" applyAlignment="1">
      <alignment vertical="center" wrapText="1"/>
    </xf>
    <xf numFmtId="0" fontId="125" fillId="2" borderId="6" xfId="0" applyFont="1" applyFill="1" applyBorder="1" applyAlignment="1">
      <alignment vertical="center" wrapText="1"/>
    </xf>
    <xf numFmtId="205" fontId="125" fillId="2" borderId="2" xfId="4" applyNumberFormat="1" applyFont="1" applyFill="1" applyBorder="1" applyAlignment="1">
      <alignment horizontal="center" vertical="center"/>
    </xf>
    <xf numFmtId="0" fontId="125" fillId="0" borderId="12" xfId="0" applyFont="1" applyBorder="1" applyAlignment="1">
      <alignment vertical="top" wrapText="1"/>
    </xf>
    <xf numFmtId="41" fontId="125" fillId="0" borderId="0" xfId="4" applyFont="1" applyFill="1" applyBorder="1" applyAlignment="1">
      <alignment horizontal="center" vertical="center"/>
    </xf>
    <xf numFmtId="0" fontId="125" fillId="0" borderId="2" xfId="0" applyFont="1" applyBorder="1" applyAlignment="1">
      <alignment horizontal="center" vertical="center" wrapText="1"/>
    </xf>
    <xf numFmtId="0" fontId="125" fillId="3" borderId="2" xfId="0" applyFont="1" applyFill="1" applyBorder="1" applyAlignment="1">
      <alignment horizontal="center" vertical="center" shrinkToFit="1"/>
    </xf>
    <xf numFmtId="41" fontId="125" fillId="2" borderId="2" xfId="4" applyFont="1" applyFill="1" applyBorder="1" applyAlignment="1">
      <alignment horizontal="center" vertical="center"/>
    </xf>
    <xf numFmtId="0" fontId="125" fillId="3" borderId="2" xfId="0" applyNumberFormat="1" applyFont="1" applyFill="1" applyBorder="1" applyAlignment="1">
      <alignment horizontal="center" vertical="center"/>
    </xf>
    <xf numFmtId="0" fontId="126" fillId="0" borderId="0" xfId="4" applyNumberFormat="1" applyFont="1" applyFill="1" applyBorder="1" applyAlignment="1">
      <alignment vertical="center"/>
    </xf>
    <xf numFmtId="0" fontId="102" fillId="0" borderId="0" xfId="5" applyFont="1" applyAlignment="1">
      <alignment vertical="center"/>
    </xf>
    <xf numFmtId="49" fontId="102" fillId="0" borderId="0" xfId="5" applyNumberFormat="1" applyFont="1" applyAlignment="1">
      <alignment horizontal="center" vertical="center"/>
    </xf>
    <xf numFmtId="189" fontId="102" fillId="0" borderId="0" xfId="5" applyNumberFormat="1" applyFont="1" applyAlignment="1">
      <alignment horizontal="center" vertical="center"/>
    </xf>
    <xf numFmtId="41" fontId="102" fillId="0" borderId="0" xfId="4" applyFont="1" applyBorder="1" applyAlignment="1">
      <alignment horizontal="center" vertical="center"/>
    </xf>
    <xf numFmtId="0" fontId="102" fillId="0" borderId="0" xfId="5" applyFont="1" applyAlignment="1">
      <alignment horizontal="center" vertical="center"/>
    </xf>
    <xf numFmtId="9" fontId="107" fillId="2" borderId="5" xfId="4" applyNumberFormat="1" applyFont="1" applyFill="1" applyBorder="1" applyAlignment="1">
      <alignment horizontal="center" vertical="center"/>
    </xf>
    <xf numFmtId="179" fontId="107" fillId="2" borderId="40" xfId="5" applyNumberFormat="1" applyFont="1" applyFill="1" applyBorder="1" applyAlignment="1">
      <alignment horizontal="center" vertical="center"/>
    </xf>
    <xf numFmtId="179" fontId="107" fillId="2" borderId="2" xfId="5" applyNumberFormat="1" applyFont="1" applyFill="1" applyBorder="1" applyAlignment="1">
      <alignment horizontal="center" vertical="center"/>
    </xf>
    <xf numFmtId="10" fontId="107" fillId="3" borderId="40" xfId="5" applyNumberFormat="1" applyFont="1" applyFill="1" applyBorder="1" applyAlignment="1">
      <alignment horizontal="center" vertical="center"/>
    </xf>
    <xf numFmtId="10" fontId="107" fillId="3" borderId="14" xfId="5" applyNumberFormat="1" applyFont="1" applyFill="1" applyBorder="1" applyAlignment="1">
      <alignment horizontal="center" vertical="center"/>
    </xf>
    <xf numFmtId="179" fontId="107" fillId="2" borderId="44" xfId="4" applyNumberFormat="1" applyFont="1" applyFill="1" applyBorder="1" applyAlignment="1">
      <alignment horizontal="center" vertical="center"/>
    </xf>
    <xf numFmtId="179" fontId="107" fillId="2" borderId="29" xfId="4" applyNumberFormat="1" applyFont="1" applyFill="1" applyBorder="1" applyAlignment="1">
      <alignment horizontal="center" vertical="center"/>
    </xf>
    <xf numFmtId="0" fontId="126" fillId="0" borderId="13" xfId="4" applyNumberFormat="1" applyFont="1" applyFill="1" applyBorder="1" applyAlignment="1">
      <alignment vertical="center"/>
    </xf>
    <xf numFmtId="9" fontId="129" fillId="2" borderId="1" xfId="4" applyNumberFormat="1" applyFont="1" applyFill="1" applyBorder="1" applyAlignment="1">
      <alignment horizontal="center" vertical="center"/>
    </xf>
    <xf numFmtId="0" fontId="102" fillId="0" borderId="0" xfId="4" applyNumberFormat="1" applyFont="1" applyFill="1" applyBorder="1" applyAlignment="1"/>
    <xf numFmtId="189" fontId="102" fillId="0" borderId="0" xfId="4" applyNumberFormat="1" applyFont="1" applyFill="1" applyBorder="1" applyAlignment="1">
      <alignment horizontal="center" vertical="center"/>
    </xf>
    <xf numFmtId="0" fontId="102" fillId="0" borderId="0" xfId="5" applyFont="1" applyAlignment="1">
      <alignment horizontal="left" vertical="top"/>
    </xf>
    <xf numFmtId="10" fontId="126" fillId="0" borderId="0" xfId="2" applyNumberFormat="1" applyFont="1" applyFill="1" applyBorder="1" applyAlignment="1">
      <alignment vertical="center"/>
    </xf>
    <xf numFmtId="0" fontId="102" fillId="0" borderId="2" xfId="4" applyNumberFormat="1" applyFont="1" applyFill="1" applyBorder="1" applyAlignment="1">
      <alignment vertical="center"/>
    </xf>
    <xf numFmtId="14" fontId="102" fillId="2" borderId="2" xfId="4" applyNumberFormat="1" applyFont="1" applyFill="1" applyBorder="1" applyAlignment="1">
      <alignment horizontal="center" vertical="center"/>
    </xf>
    <xf numFmtId="0" fontId="130" fillId="0" borderId="2" xfId="1" applyFont="1" applyBorder="1" applyAlignment="1">
      <alignment horizontal="center" vertical="center" wrapText="1"/>
    </xf>
    <xf numFmtId="189" fontId="130" fillId="0" borderId="2" xfId="1" applyNumberFormat="1" applyFont="1" applyBorder="1" applyAlignment="1">
      <alignment horizontal="center" vertical="center" wrapText="1"/>
    </xf>
    <xf numFmtId="189" fontId="130" fillId="0" borderId="0" xfId="1" applyNumberFormat="1" applyFont="1" applyAlignment="1">
      <alignment horizontal="center" vertical="center" wrapText="1"/>
    </xf>
    <xf numFmtId="0" fontId="125" fillId="0" borderId="0" xfId="5" applyFont="1" applyAlignment="1">
      <alignment horizontal="center" vertical="center" wrapText="1"/>
    </xf>
    <xf numFmtId="0" fontId="102" fillId="3" borderId="2" xfId="5" applyFont="1" applyFill="1" applyBorder="1" applyAlignment="1">
      <alignment horizontal="center" vertical="center"/>
    </xf>
    <xf numFmtId="0" fontId="102" fillId="3" borderId="2" xfId="5" applyFont="1" applyFill="1" applyBorder="1" applyAlignment="1">
      <alignment horizontal="center" vertical="center" shrinkToFit="1"/>
    </xf>
    <xf numFmtId="14" fontId="102" fillId="3" borderId="2" xfId="5" applyNumberFormat="1" applyFont="1" applyFill="1" applyBorder="1" applyAlignment="1" applyProtection="1">
      <alignment horizontal="center" vertical="center"/>
      <protection locked="0"/>
    </xf>
    <xf numFmtId="189" fontId="102" fillId="3" borderId="2" xfId="4" applyNumberFormat="1" applyFont="1" applyFill="1" applyBorder="1" applyAlignment="1">
      <alignment horizontal="center" vertical="center"/>
    </xf>
    <xf numFmtId="191" fontId="102" fillId="2" borderId="2" xfId="4" applyNumberFormat="1" applyFont="1" applyFill="1" applyBorder="1" applyAlignment="1">
      <alignment horizontal="center" vertical="center"/>
    </xf>
    <xf numFmtId="190" fontId="102" fillId="2" borderId="2" xfId="4" applyNumberFormat="1" applyFont="1" applyFill="1" applyBorder="1" applyAlignment="1">
      <alignment horizontal="center" vertical="center"/>
    </xf>
    <xf numFmtId="0" fontId="102" fillId="0" borderId="0" xfId="5" applyFont="1" applyAlignment="1">
      <alignment horizontal="center" vertical="top"/>
    </xf>
    <xf numFmtId="190" fontId="125" fillId="2" borderId="2" xfId="5" applyNumberFormat="1" applyFont="1" applyFill="1" applyBorder="1" applyAlignment="1">
      <alignment horizontal="center" vertical="center"/>
    </xf>
    <xf numFmtId="0" fontId="125" fillId="0" borderId="0" xfId="5" applyFont="1" applyAlignment="1">
      <alignment vertical="center"/>
    </xf>
    <xf numFmtId="0" fontId="102" fillId="0" borderId="2" xfId="4" applyNumberFormat="1" applyFont="1" applyFill="1" applyBorder="1" applyAlignment="1">
      <alignment horizontal="center" vertical="center"/>
    </xf>
    <xf numFmtId="189" fontId="102" fillId="0" borderId="30" xfId="5" applyNumberFormat="1" applyFont="1" applyBorder="1" applyAlignment="1">
      <alignment horizontal="center" vertical="center"/>
    </xf>
    <xf numFmtId="9" fontId="102" fillId="3" borderId="2" xfId="5" applyNumberFormat="1" applyFont="1" applyFill="1" applyBorder="1" applyAlignment="1" applyProtection="1">
      <alignment horizontal="center" vertical="center"/>
      <protection locked="0"/>
    </xf>
    <xf numFmtId="190" fontId="102" fillId="3" borderId="2" xfId="4" applyNumberFormat="1" applyFont="1" applyFill="1" applyBorder="1" applyAlignment="1">
      <alignment horizontal="center" vertical="center"/>
    </xf>
    <xf numFmtId="49" fontId="102" fillId="0" borderId="0" xfId="5" applyNumberFormat="1" applyFont="1" applyBorder="1" applyAlignment="1">
      <alignment horizontal="center" vertical="center"/>
    </xf>
    <xf numFmtId="0" fontId="102" fillId="0" borderId="0" xfId="5" applyFont="1" applyBorder="1" applyAlignment="1">
      <alignment horizontal="center" vertical="center"/>
    </xf>
    <xf numFmtId="190" fontId="125" fillId="2" borderId="2" xfId="4" applyNumberFormat="1" applyFont="1" applyFill="1" applyBorder="1" applyAlignment="1">
      <alignment horizontal="center" vertical="center"/>
    </xf>
    <xf numFmtId="0" fontId="108" fillId="0" borderId="0" xfId="5" applyFont="1" applyAlignment="1">
      <alignment horizontal="left" vertical="center"/>
    </xf>
    <xf numFmtId="0" fontId="132" fillId="0" borderId="0" xfId="5" applyFont="1" applyAlignment="1">
      <alignment horizontal="left" vertical="center"/>
    </xf>
    <xf numFmtId="192" fontId="125" fillId="2" borderId="2" xfId="5" applyNumberFormat="1" applyFont="1" applyFill="1" applyBorder="1" applyAlignment="1">
      <alignment horizontal="center" vertical="center"/>
    </xf>
    <xf numFmtId="0" fontId="125" fillId="0" borderId="0" xfId="5" applyFont="1" applyAlignment="1">
      <alignment horizontal="center" vertical="center"/>
    </xf>
    <xf numFmtId="192" fontId="125" fillId="0" borderId="0" xfId="5" applyNumberFormat="1" applyFont="1" applyAlignment="1">
      <alignment horizontal="center" vertical="center"/>
    </xf>
    <xf numFmtId="41" fontId="102" fillId="0" borderId="31" xfId="4" applyFont="1" applyBorder="1" applyAlignment="1">
      <alignment horizontal="center" vertical="center"/>
    </xf>
    <xf numFmtId="9" fontId="102" fillId="3" borderId="2" xfId="2" applyFont="1" applyFill="1" applyBorder="1" applyAlignment="1" applyProtection="1">
      <alignment horizontal="center" vertical="center"/>
      <protection locked="0"/>
    </xf>
    <xf numFmtId="0" fontId="102" fillId="14" borderId="0" xfId="5" applyFont="1" applyFill="1" applyAlignment="1">
      <alignment horizontal="center" vertical="center"/>
    </xf>
    <xf numFmtId="0" fontId="102" fillId="14" borderId="0" xfId="5" applyFont="1" applyFill="1" applyAlignment="1">
      <alignment vertical="center"/>
    </xf>
    <xf numFmtId="49" fontId="102" fillId="14" borderId="0" xfId="5" applyNumberFormat="1" applyFont="1" applyFill="1" applyAlignment="1">
      <alignment horizontal="center" vertical="center"/>
    </xf>
    <xf numFmtId="189" fontId="102" fillId="14" borderId="0" xfId="5" applyNumberFormat="1" applyFont="1" applyFill="1" applyAlignment="1">
      <alignment horizontal="center" vertical="center"/>
    </xf>
    <xf numFmtId="41" fontId="102" fillId="14" borderId="0" xfId="4" applyFont="1" applyFill="1" applyBorder="1" applyAlignment="1">
      <alignment horizontal="center" vertical="center"/>
    </xf>
    <xf numFmtId="190" fontId="102" fillId="2" borderId="2" xfId="11" applyNumberFormat="1" applyFont="1" applyFill="1" applyBorder="1" applyAlignment="1">
      <alignment horizontal="center" vertical="center"/>
    </xf>
    <xf numFmtId="190" fontId="125" fillId="2" borderId="2" xfId="11" applyNumberFormat="1" applyFont="1" applyFill="1" applyBorder="1" applyAlignment="1">
      <alignment horizontal="center" vertical="center"/>
    </xf>
    <xf numFmtId="191" fontId="125" fillId="2" borderId="1" xfId="4" applyNumberFormat="1" applyFont="1" applyFill="1" applyBorder="1" applyAlignment="1">
      <alignment horizontal="center" vertical="center"/>
    </xf>
    <xf numFmtId="191" fontId="125" fillId="2" borderId="3" xfId="4" applyNumberFormat="1" applyFont="1" applyFill="1" applyBorder="1" applyAlignment="1">
      <alignment horizontal="center" vertical="center"/>
    </xf>
    <xf numFmtId="191" fontId="125" fillId="2" borderId="4" xfId="4" applyNumberFormat="1" applyFont="1" applyFill="1" applyBorder="1" applyAlignment="1">
      <alignment horizontal="center" vertical="center"/>
    </xf>
    <xf numFmtId="0" fontId="102" fillId="0" borderId="31" xfId="5" applyFont="1" applyBorder="1" applyAlignment="1">
      <alignment horizontal="center" vertical="center"/>
    </xf>
    <xf numFmtId="0" fontId="102" fillId="0" borderId="31" xfId="5" applyFont="1" applyBorder="1" applyAlignment="1">
      <alignment vertical="center"/>
    </xf>
    <xf numFmtId="49" fontId="102" fillId="0" borderId="31" xfId="5" applyNumberFormat="1" applyFont="1" applyBorder="1" applyAlignment="1">
      <alignment horizontal="center" vertical="center"/>
    </xf>
    <xf numFmtId="49" fontId="102" fillId="0" borderId="30" xfId="5" applyNumberFormat="1" applyFont="1" applyBorder="1" applyAlignment="1">
      <alignment horizontal="center" vertical="center"/>
    </xf>
    <xf numFmtId="0" fontId="102" fillId="0" borderId="0" xfId="1" applyFont="1" applyAlignment="1">
      <alignment horizontal="center" vertical="center"/>
    </xf>
    <xf numFmtId="0" fontId="102" fillId="0" borderId="0" xfId="1" applyFont="1" applyAlignment="1">
      <alignment vertical="center" shrinkToFit="1"/>
    </xf>
    <xf numFmtId="204" fontId="115" fillId="0" borderId="0" xfId="1" applyNumberFormat="1" applyFont="1" applyAlignment="1">
      <alignment vertical="center"/>
    </xf>
    <xf numFmtId="41" fontId="115" fillId="0" borderId="0" xfId="4" applyFont="1" applyFill="1" applyBorder="1" applyAlignment="1">
      <alignment vertical="center"/>
    </xf>
    <xf numFmtId="0" fontId="102" fillId="0" borderId="0" xfId="1" applyFont="1" applyAlignment="1">
      <alignment horizontal="center" vertical="center" shrinkToFit="1"/>
    </xf>
    <xf numFmtId="0" fontId="134" fillId="0" borderId="0" xfId="1" applyFont="1" applyAlignment="1">
      <alignment horizontal="center" vertical="center"/>
    </xf>
    <xf numFmtId="41" fontId="115" fillId="0" borderId="0" xfId="4" applyFont="1" applyAlignment="1">
      <alignment vertical="center"/>
    </xf>
    <xf numFmtId="204" fontId="102" fillId="0" borderId="0" xfId="1" applyNumberFormat="1" applyFont="1" applyAlignment="1">
      <alignment vertical="center"/>
    </xf>
    <xf numFmtId="41" fontId="93" fillId="0" borderId="0" xfId="4" applyFont="1" applyAlignment="1">
      <alignment vertical="center"/>
    </xf>
    <xf numFmtId="0" fontId="122" fillId="10" borderId="2" xfId="1" applyFont="1" applyFill="1" applyBorder="1" applyAlignment="1">
      <alignment horizontal="center" vertical="center" wrapText="1"/>
    </xf>
    <xf numFmtId="0" fontId="124" fillId="2" borderId="2" xfId="1" applyFont="1" applyFill="1" applyBorder="1" applyAlignment="1">
      <alignment horizontal="center" vertical="center" shrinkToFit="1"/>
    </xf>
    <xf numFmtId="198" fontId="121" fillId="2" borderId="2" xfId="1" applyNumberFormat="1" applyFont="1" applyFill="1" applyBorder="1" applyAlignment="1">
      <alignment horizontal="center" vertical="center" wrapText="1"/>
    </xf>
    <xf numFmtId="9" fontId="121" fillId="2" borderId="2" xfId="9" applyFont="1" applyFill="1" applyBorder="1" applyAlignment="1">
      <alignment horizontal="center" vertical="center" wrapText="1"/>
    </xf>
    <xf numFmtId="41" fontId="91" fillId="0" borderId="40" xfId="4" applyFont="1" applyBorder="1" applyAlignment="1">
      <alignment horizontal="center" vertical="center"/>
    </xf>
    <xf numFmtId="14" fontId="135" fillId="2" borderId="41" xfId="1" applyNumberFormat="1" applyFont="1" applyFill="1" applyBorder="1" applyAlignment="1">
      <alignment horizontal="center" vertical="center"/>
    </xf>
    <xf numFmtId="14" fontId="125" fillId="0" borderId="0" xfId="1" applyNumberFormat="1" applyFont="1" applyAlignment="1">
      <alignment horizontal="center" vertical="center"/>
    </xf>
    <xf numFmtId="41" fontId="91" fillId="0" borderId="44" xfId="4" applyFont="1" applyBorder="1" applyAlignment="1">
      <alignment horizontal="center" vertical="center"/>
    </xf>
    <xf numFmtId="14" fontId="135" fillId="2" borderId="46" xfId="1" applyNumberFormat="1" applyFont="1" applyFill="1" applyBorder="1" applyAlignment="1">
      <alignment horizontal="center" vertical="center"/>
    </xf>
    <xf numFmtId="0" fontId="115" fillId="0" borderId="0" xfId="1" applyFont="1" applyAlignment="1">
      <alignment horizontal="center" vertical="center"/>
    </xf>
    <xf numFmtId="0" fontId="124" fillId="0" borderId="0" xfId="1" applyFont="1" applyAlignment="1">
      <alignment horizontal="center" vertical="center" wrapText="1"/>
    </xf>
    <xf numFmtId="193" fontId="124" fillId="0" borderId="0" xfId="1" applyNumberFormat="1" applyFont="1" applyAlignment="1">
      <alignment horizontal="center" vertical="center" wrapText="1"/>
    </xf>
    <xf numFmtId="43" fontId="124" fillId="0" borderId="0" xfId="1" applyNumberFormat="1" applyFont="1" applyAlignment="1">
      <alignment horizontal="center" vertical="center" wrapText="1"/>
    </xf>
    <xf numFmtId="0" fontId="126" fillId="0" borderId="0" xfId="1" applyFont="1" applyAlignment="1">
      <alignment vertical="center"/>
    </xf>
    <xf numFmtId="0" fontId="108" fillId="0" borderId="0" xfId="1" applyFont="1" applyAlignment="1">
      <alignment horizontal="center"/>
    </xf>
    <xf numFmtId="0" fontId="125" fillId="0" borderId="2" xfId="1" applyFont="1" applyBorder="1" applyAlignment="1">
      <alignment horizontal="center" vertical="center"/>
    </xf>
    <xf numFmtId="0" fontId="91" fillId="0" borderId="0" xfId="3" applyFont="1" applyAlignment="1">
      <alignment horizontal="center" vertical="center"/>
    </xf>
    <xf numFmtId="0" fontId="125" fillId="3" borderId="2" xfId="1" applyFont="1" applyFill="1" applyBorder="1" applyAlignment="1">
      <alignment horizontal="center" vertical="center"/>
    </xf>
    <xf numFmtId="14" fontId="125" fillId="3" borderId="2" xfId="1" applyNumberFormat="1" applyFont="1" applyFill="1" applyBorder="1" applyAlignment="1">
      <alignment horizontal="center" vertical="center"/>
    </xf>
    <xf numFmtId="14" fontId="125" fillId="2" borderId="2" xfId="1" applyNumberFormat="1" applyFont="1" applyFill="1" applyBorder="1" applyAlignment="1">
      <alignment horizontal="center" vertical="center"/>
    </xf>
    <xf numFmtId="0" fontId="125" fillId="2" borderId="2" xfId="4" applyNumberFormat="1" applyFont="1" applyFill="1" applyBorder="1" applyAlignment="1">
      <alignment horizontal="center" vertical="center"/>
    </xf>
    <xf numFmtId="204" fontId="125" fillId="2" borderId="2" xfId="4" applyNumberFormat="1" applyFont="1" applyFill="1" applyBorder="1" applyAlignment="1">
      <alignment horizontal="center" vertical="center"/>
    </xf>
    <xf numFmtId="41" fontId="125" fillId="3" borderId="2" xfId="4" applyFont="1" applyFill="1" applyBorder="1" applyAlignment="1">
      <alignment horizontal="center" vertical="center"/>
    </xf>
    <xf numFmtId="41" fontId="125" fillId="2" borderId="5" xfId="4" applyFont="1" applyFill="1" applyBorder="1" applyAlignment="1">
      <alignment horizontal="center" vertical="center"/>
    </xf>
    <xf numFmtId="41" fontId="91" fillId="0" borderId="0" xfId="3" applyNumberFormat="1" applyFont="1" applyAlignment="1">
      <alignment horizontal="center" vertical="center"/>
    </xf>
    <xf numFmtId="41" fontId="102" fillId="0" borderId="0" xfId="1" applyNumberFormat="1" applyFont="1" applyAlignment="1">
      <alignment vertical="center"/>
    </xf>
    <xf numFmtId="41" fontId="125" fillId="11" borderId="0" xfId="1" applyNumberFormat="1" applyFont="1" applyFill="1" applyAlignment="1">
      <alignment horizontal="center" vertical="center" shrinkToFit="1"/>
    </xf>
    <xf numFmtId="0" fontId="134" fillId="0" borderId="2" xfId="1" applyFont="1" applyBorder="1" applyAlignment="1">
      <alignment horizontal="center" vertical="center"/>
    </xf>
    <xf numFmtId="41" fontId="125" fillId="11" borderId="5" xfId="1" applyNumberFormat="1" applyFont="1" applyFill="1" applyBorder="1" applyAlignment="1">
      <alignment horizontal="center" vertical="center" shrinkToFit="1"/>
    </xf>
    <xf numFmtId="0" fontId="125" fillId="0" borderId="0" xfId="1" applyFont="1" applyAlignment="1">
      <alignment horizontal="center" vertical="center" shrinkToFit="1"/>
    </xf>
    <xf numFmtId="0" fontId="93" fillId="0" borderId="0" xfId="7" applyFont="1" applyAlignment="1">
      <alignment vertical="center" wrapText="1"/>
    </xf>
    <xf numFmtId="189" fontId="125" fillId="2" borderId="2" xfId="1" applyNumberFormat="1" applyFont="1" applyFill="1" applyBorder="1" applyAlignment="1">
      <alignment horizontal="center" vertical="center"/>
    </xf>
    <xf numFmtId="204" fontId="125" fillId="2" borderId="2" xfId="1" applyNumberFormat="1" applyFont="1" applyFill="1" applyBorder="1" applyAlignment="1">
      <alignment horizontal="center" vertical="center"/>
    </xf>
    <xf numFmtId="0" fontId="93" fillId="0" borderId="0" xfId="0" applyFont="1" applyAlignment="1">
      <alignment horizontal="center" vertical="center"/>
    </xf>
    <xf numFmtId="41" fontId="125" fillId="11" borderId="2" xfId="1" applyNumberFormat="1" applyFont="1" applyFill="1" applyBorder="1" applyAlignment="1">
      <alignment horizontal="center" vertical="center" shrinkToFit="1"/>
    </xf>
    <xf numFmtId="204" fontId="104" fillId="0" borderId="0" xfId="1" applyNumberFormat="1" applyFont="1" applyAlignment="1">
      <alignment vertical="center"/>
    </xf>
    <xf numFmtId="41" fontId="125" fillId="12" borderId="0" xfId="1" applyNumberFormat="1" applyFont="1" applyFill="1" applyAlignment="1">
      <alignment horizontal="center" vertical="center" shrinkToFit="1"/>
    </xf>
    <xf numFmtId="41" fontId="125" fillId="12" borderId="2" xfId="1" applyNumberFormat="1" applyFont="1" applyFill="1" applyBorder="1" applyAlignment="1">
      <alignment horizontal="center" vertical="center" shrinkToFit="1"/>
    </xf>
    <xf numFmtId="0" fontId="125" fillId="0" borderId="0" xfId="1" applyFont="1" applyAlignment="1">
      <alignment horizontal="center" vertical="top" wrapText="1"/>
    </xf>
    <xf numFmtId="0" fontId="126" fillId="0" borderId="0" xfId="1" applyFont="1" applyAlignment="1">
      <alignment horizontal="center" vertical="top" wrapText="1"/>
    </xf>
    <xf numFmtId="0" fontId="125" fillId="0" borderId="0" xfId="1" applyFont="1" applyAlignment="1">
      <alignment horizontal="center" vertical="center"/>
    </xf>
    <xf numFmtId="204" fontId="125" fillId="0" borderId="0" xfId="1" applyNumberFormat="1" applyFont="1" applyAlignment="1">
      <alignment horizontal="center" vertical="center"/>
    </xf>
    <xf numFmtId="41" fontId="125" fillId="0" borderId="0" xfId="1" applyNumberFormat="1" applyFont="1" applyAlignment="1">
      <alignment horizontal="center" vertical="center" shrinkToFit="1"/>
    </xf>
    <xf numFmtId="0" fontId="126" fillId="0" borderId="0" xfId="1" applyFont="1" applyAlignment="1">
      <alignment horizontal="left" vertical="center"/>
    </xf>
    <xf numFmtId="3" fontId="91" fillId="0" borderId="0" xfId="3" applyNumberFormat="1" applyFont="1">
      <alignment vertical="center"/>
    </xf>
    <xf numFmtId="3" fontId="104" fillId="0" borderId="0" xfId="3" applyNumberFormat="1" applyFont="1" applyAlignment="1">
      <alignment horizontal="center" vertical="center"/>
    </xf>
    <xf numFmtId="0" fontId="125" fillId="0" borderId="0" xfId="1" applyFont="1" applyAlignment="1">
      <alignment vertical="center" shrinkToFit="1"/>
    </xf>
    <xf numFmtId="0" fontId="138" fillId="0" borderId="0" xfId="1" applyFont="1" applyAlignment="1">
      <alignment horizontal="center" vertical="center"/>
    </xf>
    <xf numFmtId="0" fontId="125" fillId="0" borderId="0" xfId="1" applyFont="1" applyAlignment="1">
      <alignment vertical="center"/>
    </xf>
    <xf numFmtId="3" fontId="104" fillId="0" borderId="0" xfId="3" applyNumberFormat="1" applyFont="1">
      <alignment vertical="center"/>
    </xf>
    <xf numFmtId="0" fontId="109" fillId="0" borderId="13" xfId="1" applyFont="1" applyBorder="1" applyAlignment="1">
      <alignment vertical="center"/>
    </xf>
    <xf numFmtId="0" fontId="125" fillId="0" borderId="2" xfId="1" applyFont="1" applyBorder="1" applyAlignment="1">
      <alignment horizontal="center" vertical="center" wrapText="1"/>
    </xf>
    <xf numFmtId="0" fontId="125" fillId="0" borderId="2" xfId="1" applyFont="1" applyBorder="1" applyAlignment="1">
      <alignment horizontal="center" vertical="center" shrinkToFit="1"/>
    </xf>
    <xf numFmtId="0" fontId="125" fillId="3" borderId="2" xfId="1" applyFont="1" applyFill="1" applyBorder="1" applyAlignment="1">
      <alignment horizontal="center" vertical="center" wrapText="1"/>
    </xf>
    <xf numFmtId="0" fontId="125" fillId="2" borderId="2" xfId="1" applyFont="1" applyFill="1" applyBorder="1" applyAlignment="1">
      <alignment horizontal="center" vertical="center" shrinkToFit="1"/>
    </xf>
    <xf numFmtId="0" fontId="125" fillId="3" borderId="2" xfId="1" applyFont="1" applyFill="1" applyBorder="1" applyAlignment="1">
      <alignment horizontal="center" vertical="center" shrinkToFit="1"/>
    </xf>
    <xf numFmtId="0" fontId="105" fillId="0" borderId="2" xfId="1" applyFont="1" applyBorder="1" applyAlignment="1">
      <alignment horizontal="center" vertical="center" wrapText="1"/>
    </xf>
    <xf numFmtId="0" fontId="125" fillId="3" borderId="2" xfId="1" applyFont="1" applyFill="1" applyBorder="1" applyAlignment="1">
      <alignment vertical="center"/>
    </xf>
    <xf numFmtId="0" fontId="102" fillId="3" borderId="2" xfId="1" applyFont="1" applyFill="1" applyBorder="1" applyAlignment="1">
      <alignment vertical="center"/>
    </xf>
    <xf numFmtId="0" fontId="125" fillId="0" borderId="0" xfId="1" applyFont="1" applyAlignment="1">
      <alignment horizontal="center" vertical="center" wrapText="1"/>
    </xf>
    <xf numFmtId="0" fontId="125" fillId="0" borderId="5" xfId="1" applyFont="1" applyBorder="1" applyAlignment="1">
      <alignment horizontal="center" vertical="center" wrapText="1"/>
    </xf>
    <xf numFmtId="0" fontId="125" fillId="0" borderId="6" xfId="1" applyFont="1" applyBorder="1" applyAlignment="1">
      <alignment horizontal="center" vertical="center"/>
    </xf>
    <xf numFmtId="0" fontId="125" fillId="2" borderId="4" xfId="1" applyFont="1" applyFill="1" applyBorder="1" applyAlignment="1">
      <alignment horizontal="center" vertical="center" shrinkToFit="1"/>
    </xf>
    <xf numFmtId="0" fontId="125" fillId="0" borderId="0" xfId="1" applyFont="1" applyAlignment="1">
      <alignment vertical="center" wrapText="1"/>
    </xf>
    <xf numFmtId="0" fontId="131" fillId="0" borderId="0" xfId="1" applyFont="1" applyAlignment="1">
      <alignment horizontal="center" vertical="center" shrinkToFit="1"/>
    </xf>
    <xf numFmtId="0" fontId="121" fillId="0" borderId="0" xfId="7" applyFont="1">
      <alignment vertical="center"/>
    </xf>
    <xf numFmtId="0" fontId="140" fillId="0" borderId="0" xfId="7" applyFont="1">
      <alignment vertical="center"/>
    </xf>
    <xf numFmtId="0" fontId="140" fillId="3" borderId="0" xfId="7" applyFont="1" applyFill="1">
      <alignment vertical="center"/>
    </xf>
    <xf numFmtId="0" fontId="102" fillId="3" borderId="0" xfId="1" applyFont="1" applyFill="1"/>
    <xf numFmtId="0" fontId="140" fillId="3" borderId="0" xfId="7" applyFont="1" applyFill="1" applyAlignment="1">
      <alignment horizontal="right" vertical="center"/>
    </xf>
    <xf numFmtId="0" fontId="104" fillId="0" borderId="0" xfId="1" applyFont="1" applyAlignment="1">
      <alignment vertical="center" wrapText="1"/>
    </xf>
    <xf numFmtId="0" fontId="115" fillId="0" borderId="0" xfId="1" applyFont="1"/>
    <xf numFmtId="0" fontId="109" fillId="0" borderId="0" xfId="3" applyFont="1" applyAlignment="1">
      <alignment horizontal="left" vertical="center"/>
    </xf>
    <xf numFmtId="0" fontId="109" fillId="0" borderId="0" xfId="3" applyFont="1">
      <alignment vertical="center"/>
    </xf>
    <xf numFmtId="0" fontId="141" fillId="0" borderId="0" xfId="1" applyFont="1" applyAlignment="1">
      <alignment horizontal="left" vertical="center" wrapText="1"/>
    </xf>
    <xf numFmtId="0" fontId="89" fillId="0" borderId="0" xfId="3" applyFont="1" applyAlignment="1">
      <alignment horizontal="center" vertical="center"/>
    </xf>
    <xf numFmtId="0" fontId="89" fillId="0" borderId="2" xfId="3" applyFont="1" applyBorder="1" applyAlignment="1">
      <alignment horizontal="center" vertical="center"/>
    </xf>
    <xf numFmtId="0" fontId="104" fillId="0" borderId="2" xfId="3" applyFont="1" applyBorder="1" applyAlignment="1">
      <alignment horizontal="center" vertical="center"/>
    </xf>
    <xf numFmtId="0" fontId="142" fillId="0" borderId="0" xfId="1" applyFont="1" applyAlignment="1">
      <alignment vertical="center"/>
    </xf>
    <xf numFmtId="0" fontId="102" fillId="0" borderId="2" xfId="1" applyFont="1" applyBorder="1" applyAlignment="1">
      <alignment vertical="center"/>
    </xf>
    <xf numFmtId="0" fontId="102" fillId="0" borderId="2" xfId="1" applyFont="1" applyBorder="1" applyAlignment="1">
      <alignment horizontal="center" vertical="center"/>
    </xf>
    <xf numFmtId="14" fontId="121" fillId="2" borderId="2" xfId="1" applyNumberFormat="1" applyFont="1" applyFill="1" applyBorder="1" applyAlignment="1">
      <alignment horizontal="center" vertical="center"/>
    </xf>
    <xf numFmtId="0" fontId="104" fillId="2" borderId="2" xfId="1" applyFont="1" applyFill="1" applyBorder="1" applyAlignment="1">
      <alignment horizontal="center" vertical="center"/>
    </xf>
    <xf numFmtId="0" fontId="137" fillId="2" borderId="0" xfId="1" applyFont="1" applyFill="1" applyAlignment="1">
      <alignment vertical="center"/>
    </xf>
    <xf numFmtId="0" fontId="143" fillId="2" borderId="0" xfId="1" applyFont="1" applyFill="1" applyAlignment="1">
      <alignment vertical="center"/>
    </xf>
    <xf numFmtId="0" fontId="136" fillId="2" borderId="0" xfId="1" applyFont="1" applyFill="1" applyAlignment="1">
      <alignment vertical="center"/>
    </xf>
    <xf numFmtId="0" fontId="136" fillId="2" borderId="0" xfId="1" applyFont="1" applyFill="1" applyAlignment="1">
      <alignment vertical="center" shrinkToFit="1"/>
    </xf>
    <xf numFmtId="0" fontId="136" fillId="2" borderId="0" xfId="1" applyFont="1" applyFill="1" applyAlignment="1">
      <alignment horizontal="center" vertical="center"/>
    </xf>
    <xf numFmtId="0" fontId="125" fillId="0" borderId="5" xfId="1" applyFont="1" applyBorder="1" applyAlignment="1">
      <alignment horizontal="center" vertical="center"/>
    </xf>
    <xf numFmtId="9" fontId="125" fillId="2" borderId="2" xfId="2" applyFont="1" applyFill="1" applyBorder="1" applyAlignment="1">
      <alignment horizontal="center" vertical="center"/>
    </xf>
    <xf numFmtId="41" fontId="125" fillId="11" borderId="2" xfId="4" applyFont="1" applyFill="1" applyBorder="1" applyAlignment="1">
      <alignment horizontal="center" vertical="center"/>
    </xf>
    <xf numFmtId="41" fontId="125" fillId="3" borderId="2" xfId="4" applyFont="1" applyFill="1" applyBorder="1" applyAlignment="1">
      <alignment vertical="center" shrinkToFit="1"/>
    </xf>
    <xf numFmtId="0" fontId="138" fillId="0" borderId="0" xfId="1" applyFont="1" applyAlignment="1">
      <alignment horizontal="left" vertical="center"/>
    </xf>
    <xf numFmtId="0" fontId="134" fillId="0" borderId="0" xfId="1" applyFont="1" applyAlignment="1">
      <alignment vertical="center"/>
    </xf>
    <xf numFmtId="0" fontId="133" fillId="0" borderId="2" xfId="1" applyFont="1" applyBorder="1" applyAlignment="1">
      <alignment horizontal="center" vertical="center"/>
    </xf>
    <xf numFmtId="0" fontId="133" fillId="2" borderId="2" xfId="1" applyFont="1" applyFill="1" applyBorder="1" applyAlignment="1">
      <alignment horizontal="center" vertical="center"/>
    </xf>
    <xf numFmtId="0" fontId="133" fillId="0" borderId="2" xfId="1" applyFont="1" applyBorder="1" applyAlignment="1">
      <alignment horizontal="center" vertical="center" wrapText="1"/>
    </xf>
    <xf numFmtId="0" fontId="89" fillId="0" borderId="2" xfId="1" applyFont="1" applyBorder="1" applyAlignment="1">
      <alignment horizontal="center" vertical="center"/>
    </xf>
    <xf numFmtId="14" fontId="144" fillId="2" borderId="2" xfId="1" applyNumberFormat="1" applyFont="1" applyFill="1" applyBorder="1" applyAlignment="1">
      <alignment horizontal="center" vertical="center"/>
    </xf>
    <xf numFmtId="41" fontId="125" fillId="0" borderId="0" xfId="1" applyNumberFormat="1" applyFont="1" applyAlignment="1">
      <alignment vertical="center"/>
    </xf>
    <xf numFmtId="41" fontId="125" fillId="0" borderId="0" xfId="4" applyFont="1" applyFill="1" applyBorder="1" applyAlignment="1">
      <alignment vertical="center"/>
    </xf>
    <xf numFmtId="41" fontId="125" fillId="0" borderId="0" xfId="4" applyFont="1" applyFill="1" applyBorder="1" applyAlignment="1">
      <alignment vertical="center" shrinkToFit="1"/>
    </xf>
    <xf numFmtId="14" fontId="89" fillId="2" borderId="2" xfId="1" applyNumberFormat="1" applyFont="1" applyFill="1" applyBorder="1" applyAlignment="1">
      <alignment horizontal="center" vertical="center"/>
    </xf>
    <xf numFmtId="41" fontId="125" fillId="12" borderId="2" xfId="4" applyFont="1" applyFill="1" applyBorder="1" applyAlignment="1">
      <alignment horizontal="center" vertical="center"/>
    </xf>
    <xf numFmtId="0" fontId="104" fillId="0" borderId="0" xfId="1" applyFont="1" applyAlignment="1">
      <alignment horizontal="left" vertical="center"/>
    </xf>
    <xf numFmtId="208" fontId="134" fillId="0" borderId="0" xfId="1" applyNumberFormat="1" applyFont="1" applyAlignment="1">
      <alignment vertical="center"/>
    </xf>
    <xf numFmtId="0" fontId="145" fillId="0" borderId="0" xfId="1" applyFont="1"/>
    <xf numFmtId="0" fontId="125" fillId="0" borderId="15" xfId="1" applyFont="1" applyBorder="1" applyAlignment="1">
      <alignment horizontal="center" vertical="center" wrapText="1"/>
    </xf>
    <xf numFmtId="9" fontId="105" fillId="2" borderId="2" xfId="2" applyFont="1" applyFill="1" applyBorder="1" applyAlignment="1">
      <alignment horizontal="center" vertical="center"/>
    </xf>
    <xf numFmtId="195" fontId="134" fillId="0" borderId="0" xfId="1" applyNumberFormat="1" applyFont="1" applyAlignment="1">
      <alignment horizontal="center" vertical="center"/>
    </xf>
    <xf numFmtId="0" fontId="121" fillId="0" borderId="0" xfId="1" applyFont="1" applyAlignment="1">
      <alignment vertical="center"/>
    </xf>
    <xf numFmtId="189" fontId="121" fillId="0" borderId="0" xfId="1" applyNumberFormat="1" applyFont="1" applyAlignment="1">
      <alignment vertical="center"/>
    </xf>
    <xf numFmtId="196" fontId="146" fillId="0" borderId="0" xfId="4" applyNumberFormat="1" applyFont="1" applyAlignment="1">
      <alignment vertical="center"/>
    </xf>
    <xf numFmtId="0" fontId="146" fillId="0" borderId="0" xfId="1" applyFont="1" applyAlignment="1">
      <alignment vertical="center"/>
    </xf>
    <xf numFmtId="0" fontId="144" fillId="0" borderId="2" xfId="1" applyFont="1" applyBorder="1" applyAlignment="1">
      <alignment horizontal="center" vertical="center" shrinkToFit="1"/>
    </xf>
    <xf numFmtId="189" fontId="144" fillId="0" borderId="2" xfId="4" applyNumberFormat="1" applyFont="1" applyBorder="1" applyAlignment="1">
      <alignment horizontal="center" vertical="center"/>
    </xf>
    <xf numFmtId="14" fontId="144" fillId="0" borderId="0" xfId="1" applyNumberFormat="1" applyFont="1" applyAlignment="1">
      <alignment horizontal="center" vertical="center"/>
    </xf>
    <xf numFmtId="0" fontId="144" fillId="0" borderId="0" xfId="1" applyFont="1" applyAlignment="1">
      <alignment horizontal="center" vertical="center" shrinkToFit="1"/>
    </xf>
    <xf numFmtId="189" fontId="121" fillId="0" borderId="1" xfId="1" applyNumberFormat="1" applyFont="1" applyBorder="1" applyAlignment="1">
      <alignment horizontal="center" vertical="center"/>
    </xf>
    <xf numFmtId="0" fontId="144" fillId="0" borderId="0" xfId="1" applyFont="1" applyAlignment="1">
      <alignment vertical="center"/>
    </xf>
    <xf numFmtId="196" fontId="144" fillId="0" borderId="0" xfId="4" applyNumberFormat="1" applyFont="1" applyAlignment="1">
      <alignment vertical="center"/>
    </xf>
    <xf numFmtId="0" fontId="121" fillId="0" borderId="2" xfId="1" applyFont="1" applyBorder="1" applyAlignment="1">
      <alignment horizontal="center" vertical="center"/>
    </xf>
    <xf numFmtId="189" fontId="147" fillId="0" borderId="4" xfId="1" applyNumberFormat="1" applyFont="1" applyBorder="1" applyAlignment="1">
      <alignment horizontal="center" vertical="center"/>
    </xf>
    <xf numFmtId="0" fontId="121" fillId="3" borderId="4" xfId="1" applyFont="1" applyFill="1" applyBorder="1" applyAlignment="1">
      <alignment horizontal="center" vertical="center" shrinkToFit="1"/>
    </xf>
    <xf numFmtId="14" fontId="121" fillId="3" borderId="2" xfId="1" applyNumberFormat="1" applyFont="1" applyFill="1" applyBorder="1" applyAlignment="1">
      <alignment horizontal="center" vertical="center"/>
    </xf>
    <xf numFmtId="189" fontId="121" fillId="2" borderId="4" xfId="1" applyNumberFormat="1" applyFont="1" applyFill="1" applyBorder="1" applyAlignment="1">
      <alignment horizontal="center" vertical="center"/>
    </xf>
    <xf numFmtId="206" fontId="121" fillId="2" borderId="2" xfId="1" applyNumberFormat="1" applyFont="1" applyFill="1" applyBorder="1" applyAlignment="1">
      <alignment horizontal="center" vertical="center"/>
    </xf>
    <xf numFmtId="0" fontId="121" fillId="0" borderId="26" xfId="1" applyFont="1" applyBorder="1" applyAlignment="1">
      <alignment horizontal="center" vertical="center" wrapText="1"/>
    </xf>
    <xf numFmtId="0" fontId="121" fillId="2" borderId="3" xfId="1" applyFont="1" applyFill="1" applyBorder="1" applyAlignment="1">
      <alignment horizontal="center" vertical="center" wrapText="1"/>
    </xf>
    <xf numFmtId="0" fontId="121" fillId="3" borderId="2" xfId="1" applyFont="1" applyFill="1" applyBorder="1" applyAlignment="1">
      <alignment horizontal="center" vertical="center" shrinkToFit="1"/>
    </xf>
    <xf numFmtId="189" fontId="121" fillId="2" borderId="2" xfId="1" applyNumberFormat="1" applyFont="1" applyFill="1" applyBorder="1" applyAlignment="1">
      <alignment horizontal="center" vertical="center"/>
    </xf>
    <xf numFmtId="0" fontId="102" fillId="0" borderId="6" xfId="1" applyFont="1" applyBorder="1"/>
    <xf numFmtId="0" fontId="121" fillId="2" borderId="2" xfId="1" applyFont="1" applyFill="1" applyBorder="1" applyAlignment="1">
      <alignment horizontal="center" vertical="center" wrapText="1"/>
    </xf>
    <xf numFmtId="0" fontId="121" fillId="0" borderId="15" xfId="1" applyFont="1" applyBorder="1" applyAlignment="1">
      <alignment horizontal="center" vertical="center"/>
    </xf>
    <xf numFmtId="207" fontId="121" fillId="2" borderId="2" xfId="1" applyNumberFormat="1" applyFont="1" applyFill="1" applyBorder="1" applyAlignment="1">
      <alignment horizontal="center" vertical="center"/>
    </xf>
    <xf numFmtId="189" fontId="146" fillId="0" borderId="0" xfId="1" applyNumberFormat="1" applyFont="1" applyAlignment="1">
      <alignment vertical="center"/>
    </xf>
    <xf numFmtId="196" fontId="121" fillId="0" borderId="0" xfId="4" applyNumberFormat="1" applyFont="1" applyAlignment="1">
      <alignment vertical="center"/>
    </xf>
    <xf numFmtId="9" fontId="107" fillId="2" borderId="2" xfId="4" applyNumberFormat="1" applyFont="1" applyFill="1" applyBorder="1" applyAlignment="1">
      <alignment horizontal="center" vertical="center"/>
    </xf>
    <xf numFmtId="180" fontId="107" fillId="2" borderId="2" xfId="5" applyNumberFormat="1" applyFont="1" applyFill="1" applyBorder="1" applyAlignment="1">
      <alignment horizontal="center" vertical="center"/>
    </xf>
    <xf numFmtId="179" fontId="107" fillId="0" borderId="0" xfId="5" applyNumberFormat="1" applyFont="1" applyAlignment="1">
      <alignment horizontal="center" vertical="center"/>
    </xf>
    <xf numFmtId="0" fontId="89" fillId="0" borderId="1" xfId="1" applyFont="1" applyBorder="1" applyAlignment="1">
      <alignment horizontal="center" vertical="center" shrinkToFit="1"/>
    </xf>
    <xf numFmtId="180" fontId="107" fillId="2" borderId="2" xfId="4" applyNumberFormat="1" applyFont="1" applyFill="1" applyBorder="1" applyAlignment="1">
      <alignment horizontal="center" vertical="center"/>
    </xf>
    <xf numFmtId="190" fontId="107" fillId="0" borderId="0" xfId="5" applyNumberFormat="1" applyFont="1" applyAlignment="1">
      <alignment horizontal="center" vertical="center"/>
    </xf>
    <xf numFmtId="9" fontId="129" fillId="2" borderId="38" xfId="4" applyNumberFormat="1" applyFont="1" applyFill="1" applyBorder="1" applyAlignment="1">
      <alignment horizontal="center" vertical="center"/>
    </xf>
    <xf numFmtId="0" fontId="125" fillId="0" borderId="38" xfId="1" applyFont="1" applyBorder="1" applyAlignment="1">
      <alignment horizontal="center" vertical="center"/>
    </xf>
    <xf numFmtId="41" fontId="89" fillId="0" borderId="38" xfId="4" applyFont="1" applyBorder="1" applyAlignment="1">
      <alignment horizontal="center" vertical="center"/>
    </xf>
    <xf numFmtId="41" fontId="89" fillId="0" borderId="39" xfId="4" applyFont="1" applyBorder="1" applyAlignment="1">
      <alignment horizontal="center" vertical="center"/>
    </xf>
    <xf numFmtId="197" fontId="89" fillId="2" borderId="2" xfId="1" applyNumberFormat="1" applyFont="1" applyFill="1" applyBorder="1" applyAlignment="1">
      <alignment horizontal="center" vertical="center"/>
    </xf>
    <xf numFmtId="197" fontId="89" fillId="2" borderId="41" xfId="1" applyNumberFormat="1" applyFont="1" applyFill="1" applyBorder="1" applyAlignment="1">
      <alignment horizontal="center" vertical="center"/>
    </xf>
    <xf numFmtId="209" fontId="102" fillId="2" borderId="2" xfId="9" applyNumberFormat="1" applyFont="1" applyFill="1" applyBorder="1" applyAlignment="1">
      <alignment horizontal="center" vertical="center"/>
    </xf>
    <xf numFmtId="0" fontId="102" fillId="0" borderId="2" xfId="1" applyFont="1" applyBorder="1"/>
    <xf numFmtId="0" fontId="102" fillId="0" borderId="41" xfId="1" applyFont="1" applyBorder="1"/>
    <xf numFmtId="0" fontId="121" fillId="2" borderId="29" xfId="4" applyNumberFormat="1" applyFont="1" applyFill="1" applyBorder="1" applyAlignment="1">
      <alignment horizontal="center" vertical="center"/>
    </xf>
    <xf numFmtId="0" fontId="102" fillId="0" borderId="29" xfId="1" applyFont="1" applyBorder="1"/>
    <xf numFmtId="0" fontId="102" fillId="0" borderId="46" xfId="1" applyFont="1" applyBorder="1"/>
    <xf numFmtId="10" fontId="102" fillId="2" borderId="2" xfId="9" applyNumberFormat="1" applyFont="1" applyFill="1" applyBorder="1" applyAlignment="1">
      <alignment horizontal="center" vertical="center"/>
    </xf>
    <xf numFmtId="0" fontId="100" fillId="0" borderId="0" xfId="0" applyFont="1" applyAlignment="1">
      <alignment vertical="center"/>
    </xf>
    <xf numFmtId="0" fontId="63" fillId="0" borderId="0" xfId="0" applyFont="1" applyAlignment="1">
      <alignment vertical="center"/>
    </xf>
    <xf numFmtId="0" fontId="0" fillId="0" borderId="47" xfId="0" applyBorder="1">
      <alignment vertical="center"/>
    </xf>
    <xf numFmtId="0" fontId="67" fillId="0" borderId="47" xfId="3" quotePrefix="1" applyFont="1" applyBorder="1" applyAlignment="1">
      <alignment vertical="center" wrapText="1"/>
    </xf>
    <xf numFmtId="0" fontId="67" fillId="0" borderId="47" xfId="3" quotePrefix="1" applyFont="1" applyBorder="1" applyAlignment="1">
      <alignment horizontal="left" vertical="center" wrapText="1"/>
    </xf>
    <xf numFmtId="0" fontId="66" fillId="0" borderId="47" xfId="3" applyFont="1" applyBorder="1" applyAlignment="1">
      <alignment horizontal="left" vertical="center" wrapText="1"/>
    </xf>
    <xf numFmtId="0" fontId="38" fillId="0" borderId="47" xfId="3" applyFont="1" applyBorder="1" applyAlignment="1">
      <alignment horizontal="center" vertical="center" wrapText="1"/>
    </xf>
    <xf numFmtId="201" fontId="38" fillId="2" borderId="41" xfId="3" applyNumberFormat="1" applyFont="1" applyFill="1" applyBorder="1" applyAlignment="1">
      <alignment horizontal="center" vertical="center" wrapText="1"/>
    </xf>
    <xf numFmtId="201" fontId="76" fillId="4" borderId="46" xfId="3" applyNumberFormat="1" applyFont="1" applyFill="1" applyBorder="1" applyAlignment="1">
      <alignment horizontal="center" vertical="center" wrapText="1"/>
    </xf>
    <xf numFmtId="0" fontId="38" fillId="0" borderId="29" xfId="3" applyFont="1" applyBorder="1" applyAlignment="1">
      <alignment horizontal="center" vertical="center" wrapText="1"/>
    </xf>
    <xf numFmtId="0" fontId="38" fillId="0" borderId="69" xfId="3" applyFont="1" applyBorder="1" applyAlignment="1">
      <alignment horizontal="center" vertical="center" wrapText="1"/>
    </xf>
    <xf numFmtId="0" fontId="76" fillId="2" borderId="66" xfId="3" applyFont="1" applyFill="1" applyBorder="1" applyAlignment="1">
      <alignment horizontal="center" vertical="center" wrapText="1"/>
    </xf>
    <xf numFmtId="201" fontId="76" fillId="2" borderId="66" xfId="3" applyNumberFormat="1" applyFont="1" applyFill="1" applyBorder="1" applyAlignment="1">
      <alignment horizontal="center" vertical="center" wrapText="1"/>
    </xf>
    <xf numFmtId="0" fontId="39" fillId="0" borderId="6" xfId="3" applyFont="1" applyBorder="1" applyAlignment="1">
      <alignment horizontal="center" vertical="center" wrapText="1"/>
    </xf>
    <xf numFmtId="0" fontId="76" fillId="9" borderId="5" xfId="3" applyFont="1" applyFill="1" applyBorder="1" applyAlignment="1">
      <alignment horizontal="center" vertical="center" wrapText="1"/>
    </xf>
    <xf numFmtId="211" fontId="79" fillId="0" borderId="2" xfId="3" applyNumberFormat="1" applyFont="1" applyBorder="1" applyAlignment="1">
      <alignment horizontal="center" vertical="center" wrapText="1"/>
    </xf>
    <xf numFmtId="0" fontId="35" fillId="0" borderId="2" xfId="3" quotePrefix="1" applyFont="1" applyBorder="1" applyAlignment="1">
      <alignment vertical="center" wrapText="1"/>
    </xf>
    <xf numFmtId="0" fontId="125" fillId="0" borderId="2" xfId="1" applyFont="1" applyBorder="1" applyAlignment="1">
      <alignment horizontal="center" vertical="center"/>
    </xf>
    <xf numFmtId="0" fontId="125" fillId="0" borderId="2" xfId="1" applyFont="1" applyBorder="1" applyAlignment="1">
      <alignment horizontal="center" vertical="center" wrapText="1"/>
    </xf>
    <xf numFmtId="0" fontId="125" fillId="0" borderId="2" xfId="1" applyFont="1" applyBorder="1" applyAlignment="1">
      <alignment horizontal="center" vertical="center" shrinkToFit="1"/>
    </xf>
    <xf numFmtId="0" fontId="89" fillId="16" borderId="2" xfId="1" applyFont="1" applyFill="1" applyBorder="1" applyAlignment="1">
      <alignment horizontal="center" vertical="center" wrapText="1"/>
    </xf>
    <xf numFmtId="0" fontId="89" fillId="16" borderId="2" xfId="1" applyFont="1" applyFill="1" applyBorder="1" applyAlignment="1">
      <alignment horizontal="center" vertical="center"/>
    </xf>
    <xf numFmtId="0" fontId="76" fillId="4" borderId="29" xfId="3" applyFont="1" applyFill="1" applyBorder="1" applyAlignment="1">
      <alignment horizontal="center" vertical="center" wrapText="1"/>
    </xf>
    <xf numFmtId="0" fontId="38" fillId="0" borderId="64" xfId="3" applyFont="1" applyBorder="1" applyAlignment="1">
      <alignment horizontal="center" vertical="center" wrapText="1"/>
    </xf>
    <xf numFmtId="201" fontId="38" fillId="2" borderId="64" xfId="3" applyNumberFormat="1" applyFont="1" applyFill="1" applyBorder="1" applyAlignment="1">
      <alignment horizontal="center" vertical="center" wrapText="1"/>
    </xf>
    <xf numFmtId="0" fontId="38" fillId="2" borderId="2" xfId="3" applyFont="1" applyFill="1" applyBorder="1" applyAlignment="1">
      <alignment horizontal="center" vertical="center" wrapText="1"/>
    </xf>
    <xf numFmtId="0" fontId="38" fillId="0" borderId="2" xfId="3" applyFont="1" applyBorder="1" applyAlignment="1">
      <alignment horizontal="center" vertical="center" wrapText="1"/>
    </xf>
    <xf numFmtId="0" fontId="38" fillId="3" borderId="2" xfId="3" applyFont="1" applyFill="1" applyBorder="1" applyAlignment="1">
      <alignment horizontal="center" vertical="center" wrapText="1"/>
    </xf>
    <xf numFmtId="0" fontId="67" fillId="0" borderId="47" xfId="3" applyFont="1" applyBorder="1" applyAlignment="1">
      <alignment horizontal="left" vertical="center" wrapText="1"/>
    </xf>
    <xf numFmtId="0" fontId="67" fillId="0" borderId="47" xfId="3" quotePrefix="1" applyFont="1" applyBorder="1" applyAlignment="1">
      <alignment horizontal="left" vertical="top" wrapText="1"/>
    </xf>
    <xf numFmtId="0" fontId="38" fillId="8" borderId="2" xfId="3" applyFont="1" applyFill="1" applyBorder="1" applyAlignment="1">
      <alignment horizontal="center" vertical="center" wrapText="1"/>
    </xf>
    <xf numFmtId="189" fontId="107" fillId="9" borderId="2" xfId="5" applyNumberFormat="1" applyFont="1" applyFill="1" applyBorder="1" applyAlignment="1">
      <alignment horizontal="center" vertical="center"/>
    </xf>
    <xf numFmtId="0" fontId="125" fillId="0" borderId="75" xfId="1" applyFont="1" applyFill="1" applyBorder="1" applyAlignment="1">
      <alignment horizontal="center" vertical="center"/>
    </xf>
    <xf numFmtId="0" fontId="125" fillId="0" borderId="75" xfId="1" applyFont="1" applyFill="1" applyBorder="1" applyAlignment="1">
      <alignment horizontal="center" vertical="center" shrinkToFit="1"/>
    </xf>
    <xf numFmtId="0" fontId="125" fillId="0" borderId="0" xfId="1" applyFont="1" applyFill="1" applyBorder="1" applyAlignment="1">
      <alignment horizontal="center" vertical="center" wrapText="1"/>
    </xf>
    <xf numFmtId="0" fontId="125" fillId="0" borderId="0" xfId="1" applyFont="1" applyFill="1" applyBorder="1" applyAlignment="1">
      <alignment horizontal="center" vertical="center"/>
    </xf>
    <xf numFmtId="0" fontId="125" fillId="0" borderId="0" xfId="1" applyFont="1" applyFill="1" applyBorder="1" applyAlignment="1">
      <alignment horizontal="center" vertical="center" shrinkToFit="1"/>
    </xf>
    <xf numFmtId="0" fontId="138" fillId="0" borderId="0" xfId="1" applyFont="1" applyFill="1" applyAlignment="1">
      <alignment horizontal="center" vertical="center"/>
    </xf>
    <xf numFmtId="0" fontId="102" fillId="0" borderId="0" xfId="1" applyFont="1" applyFill="1" applyAlignment="1">
      <alignment vertical="center"/>
    </xf>
    <xf numFmtId="0" fontId="38" fillId="0" borderId="18" xfId="3" applyFont="1" applyBorder="1" applyAlignment="1">
      <alignment horizontal="center" vertical="center" wrapText="1"/>
    </xf>
    <xf numFmtId="176" fontId="65" fillId="2" borderId="2" xfId="3" applyNumberFormat="1" applyFont="1" applyFill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/>
    </xf>
    <xf numFmtId="0" fontId="13" fillId="0" borderId="0" xfId="1" applyFont="1" applyBorder="1" applyAlignment="1">
      <alignment vertical="center"/>
    </xf>
    <xf numFmtId="0" fontId="14" fillId="0" borderId="0" xfId="1" applyFont="1" applyBorder="1" applyAlignment="1">
      <alignment vertical="center"/>
    </xf>
    <xf numFmtId="49" fontId="11" fillId="0" borderId="0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5" fillId="0" borderId="0" xfId="1" applyFont="1" applyBorder="1" applyAlignment="1">
      <alignment vertical="center"/>
    </xf>
    <xf numFmtId="0" fontId="16" fillId="0" borderId="0" xfId="1" applyFont="1" applyBorder="1" applyAlignment="1">
      <alignment vertical="center"/>
    </xf>
    <xf numFmtId="49" fontId="17" fillId="0" borderId="0" xfId="1" applyNumberFormat="1" applyFont="1" applyBorder="1" applyAlignment="1">
      <alignment vertical="center"/>
    </xf>
    <xf numFmtId="49" fontId="18" fillId="0" borderId="0" xfId="1" applyNumberFormat="1" applyFont="1" applyBorder="1" applyAlignment="1">
      <alignment vertical="center"/>
    </xf>
    <xf numFmtId="0" fontId="18" fillId="0" borderId="0" xfId="1" applyFont="1" applyBorder="1" applyAlignment="1">
      <alignment vertical="center"/>
    </xf>
    <xf numFmtId="0" fontId="4" fillId="13" borderId="38" xfId="8" applyFont="1" applyFill="1" applyBorder="1" applyAlignment="1">
      <alignment horizontal="center" vertical="center"/>
    </xf>
    <xf numFmtId="0" fontId="1" fillId="0" borderId="38" xfId="1" applyBorder="1" applyAlignment="1">
      <alignment horizontal="center"/>
    </xf>
    <xf numFmtId="202" fontId="1" fillId="0" borderId="38" xfId="1" applyNumberFormat="1" applyBorder="1" applyAlignment="1">
      <alignment horizontal="center" wrapText="1"/>
    </xf>
    <xf numFmtId="0" fontId="89" fillId="16" borderId="41" xfId="1" applyFont="1" applyFill="1" applyBorder="1" applyAlignment="1">
      <alignment horizontal="center" vertical="center"/>
    </xf>
    <xf numFmtId="0" fontId="92" fillId="0" borderId="44" xfId="1" applyFont="1" applyBorder="1" applyAlignment="1">
      <alignment horizontal="center" vertical="center"/>
    </xf>
    <xf numFmtId="0" fontId="92" fillId="0" borderId="29" xfId="8" applyFont="1" applyBorder="1" applyAlignment="1">
      <alignment horizontal="center" vertical="center" shrinkToFit="1"/>
    </xf>
    <xf numFmtId="181" fontId="93" fillId="0" borderId="29" xfId="8" applyNumberFormat="1" applyFont="1" applyBorder="1" applyAlignment="1">
      <alignment horizontal="center" vertical="center" shrinkToFit="1"/>
    </xf>
    <xf numFmtId="203" fontId="53" fillId="0" borderId="29" xfId="1" applyNumberFormat="1" applyFont="1" applyBorder="1" applyAlignment="1">
      <alignment horizontal="center" vertical="center"/>
    </xf>
    <xf numFmtId="1" fontId="53" fillId="0" borderId="29" xfId="1" applyNumberFormat="1" applyFont="1" applyBorder="1" applyAlignment="1">
      <alignment horizontal="center" vertical="center"/>
    </xf>
    <xf numFmtId="210" fontId="53" fillId="0" borderId="29" xfId="1" applyNumberFormat="1" applyFont="1" applyBorder="1" applyAlignment="1">
      <alignment horizontal="center" vertical="center"/>
    </xf>
    <xf numFmtId="181" fontId="64" fillId="0" borderId="29" xfId="1" applyNumberFormat="1" applyFont="1" applyBorder="1" applyAlignment="1">
      <alignment horizontal="center" vertical="center"/>
    </xf>
    <xf numFmtId="181" fontId="53" fillId="0" borderId="46" xfId="1" applyNumberFormat="1" applyFont="1" applyBorder="1" applyAlignment="1">
      <alignment horizontal="center" vertical="center"/>
    </xf>
    <xf numFmtId="201" fontId="38" fillId="2" borderId="76" xfId="3" applyNumberFormat="1" applyFont="1" applyFill="1" applyBorder="1" applyAlignment="1">
      <alignment horizontal="center" vertical="center" wrapText="1"/>
    </xf>
    <xf numFmtId="201" fontId="38" fillId="2" borderId="74" xfId="3" applyNumberFormat="1" applyFont="1" applyFill="1" applyBorder="1" applyAlignment="1">
      <alignment horizontal="center" vertical="center" wrapText="1"/>
    </xf>
    <xf numFmtId="201" fontId="38" fillId="2" borderId="53" xfId="3" applyNumberFormat="1" applyFont="1" applyFill="1" applyBorder="1" applyAlignment="1">
      <alignment horizontal="center" vertical="center" wrapText="1"/>
    </xf>
    <xf numFmtId="201" fontId="76" fillId="7" borderId="61" xfId="3" applyNumberFormat="1" applyFont="1" applyFill="1" applyBorder="1" applyAlignment="1">
      <alignment horizontal="center" vertical="center" wrapText="1"/>
    </xf>
    <xf numFmtId="201" fontId="38" fillId="2" borderId="77" xfId="3" applyNumberFormat="1" applyFont="1" applyFill="1" applyBorder="1" applyAlignment="1">
      <alignment horizontal="center" vertical="center"/>
    </xf>
    <xf numFmtId="201" fontId="38" fillId="2" borderId="17" xfId="3" applyNumberFormat="1" applyFont="1" applyFill="1" applyBorder="1" applyAlignment="1">
      <alignment horizontal="center" vertical="center" wrapText="1"/>
    </xf>
    <xf numFmtId="201" fontId="38" fillId="2" borderId="78" xfId="3" applyNumberFormat="1" applyFont="1" applyFill="1" applyBorder="1" applyAlignment="1">
      <alignment horizontal="center" vertical="center" wrapText="1"/>
    </xf>
    <xf numFmtId="201" fontId="76" fillId="8" borderId="17" xfId="3" applyNumberFormat="1" applyFont="1" applyFill="1" applyBorder="1" applyAlignment="1">
      <alignment horizontal="center" vertical="center" wrapText="1"/>
    </xf>
    <xf numFmtId="201" fontId="76" fillId="2" borderId="5" xfId="3" applyNumberFormat="1" applyFont="1" applyFill="1" applyBorder="1" applyAlignment="1">
      <alignment horizontal="center" vertical="center" wrapText="1"/>
    </xf>
    <xf numFmtId="201" fontId="38" fillId="2" borderId="9" xfId="3" applyNumberFormat="1" applyFont="1" applyFill="1" applyBorder="1" applyAlignment="1">
      <alignment horizontal="center" vertical="center"/>
    </xf>
    <xf numFmtId="201" fontId="76" fillId="15" borderId="5" xfId="3" applyNumberFormat="1" applyFont="1" applyFill="1" applyBorder="1" applyAlignment="1">
      <alignment horizontal="center" vertical="center" wrapText="1"/>
    </xf>
    <xf numFmtId="201" fontId="38" fillId="2" borderId="5" xfId="3" applyNumberFormat="1" applyFont="1" applyFill="1" applyBorder="1" applyAlignment="1">
      <alignment horizontal="center" vertical="center"/>
    </xf>
    <xf numFmtId="201" fontId="76" fillId="6" borderId="5" xfId="3" applyNumberFormat="1" applyFont="1" applyFill="1" applyBorder="1" applyAlignment="1">
      <alignment horizontal="center" vertical="center" wrapText="1"/>
    </xf>
    <xf numFmtId="201" fontId="38" fillId="2" borderId="5" xfId="3" applyNumberFormat="1" applyFont="1" applyFill="1" applyBorder="1" applyAlignment="1">
      <alignment horizontal="center" vertical="center" wrapText="1"/>
    </xf>
    <xf numFmtId="201" fontId="76" fillId="4" borderId="61" xfId="3" applyNumberFormat="1" applyFont="1" applyFill="1" applyBorder="1" applyAlignment="1">
      <alignment horizontal="center" vertical="center" wrapText="1"/>
    </xf>
    <xf numFmtId="0" fontId="35" fillId="0" borderId="47" xfId="3" quotePrefix="1" applyFont="1" applyBorder="1" applyAlignment="1">
      <alignment horizontal="center" vertical="center" wrapText="1"/>
    </xf>
    <xf numFmtId="0" fontId="67" fillId="0" borderId="47" xfId="3" applyFont="1" applyBorder="1" applyAlignment="1">
      <alignment horizontal="center" vertical="center" wrapText="1"/>
    </xf>
    <xf numFmtId="0" fontId="66" fillId="0" borderId="47" xfId="3" quotePrefix="1" applyFont="1" applyBorder="1" applyAlignment="1">
      <alignment horizontal="left" vertical="center" wrapText="1"/>
    </xf>
    <xf numFmtId="0" fontId="77" fillId="0" borderId="47" xfId="3" applyFont="1" applyBorder="1" applyAlignment="1">
      <alignment vertical="center" wrapText="1"/>
    </xf>
    <xf numFmtId="0" fontId="82" fillId="9" borderId="60" xfId="0" applyFont="1" applyFill="1" applyBorder="1" applyAlignment="1">
      <alignment horizontal="center" vertical="center" wrapText="1"/>
    </xf>
    <xf numFmtId="0" fontId="76" fillId="0" borderId="36" xfId="3" applyFont="1" applyBorder="1" applyAlignment="1">
      <alignment horizontal="center" vertical="center" wrapText="1"/>
    </xf>
    <xf numFmtId="0" fontId="0" fillId="0" borderId="41" xfId="0" applyBorder="1">
      <alignment vertical="center"/>
    </xf>
    <xf numFmtId="0" fontId="67" fillId="0" borderId="41" xfId="3" quotePrefix="1" applyFont="1" applyBorder="1" applyAlignment="1">
      <alignment vertical="center" wrapText="1"/>
    </xf>
    <xf numFmtId="0" fontId="150" fillId="0" borderId="41" xfId="3" quotePrefix="1" applyFont="1" applyBorder="1" applyAlignment="1">
      <alignment horizontal="left" vertical="center" wrapText="1"/>
    </xf>
    <xf numFmtId="0" fontId="67" fillId="0" borderId="41" xfId="3" quotePrefix="1" applyFont="1" applyBorder="1" applyAlignment="1">
      <alignment horizontal="left" vertical="center" wrapText="1"/>
    </xf>
    <xf numFmtId="0" fontId="67" fillId="0" borderId="41" xfId="3" applyFont="1" applyBorder="1" applyAlignment="1">
      <alignment horizontal="left" vertical="center" wrapText="1"/>
    </xf>
    <xf numFmtId="0" fontId="66" fillId="0" borderId="41" xfId="3" applyFont="1" applyBorder="1" applyAlignment="1">
      <alignment horizontal="left" vertical="center" wrapText="1"/>
    </xf>
    <xf numFmtId="0" fontId="77" fillId="0" borderId="41" xfId="3" applyFont="1" applyBorder="1" applyAlignment="1">
      <alignment vertical="center" wrapText="1"/>
    </xf>
    <xf numFmtId="0" fontId="38" fillId="0" borderId="41" xfId="3" applyFont="1" applyBorder="1" applyAlignment="1">
      <alignment horizontal="center" vertical="center" wrapText="1"/>
    </xf>
    <xf numFmtId="0" fontId="76" fillId="9" borderId="32" xfId="3" applyFont="1" applyFill="1" applyBorder="1" applyAlignment="1">
      <alignment horizontal="center" vertical="center" wrapText="1"/>
    </xf>
    <xf numFmtId="0" fontId="76" fillId="9" borderId="66" xfId="3" applyFont="1" applyFill="1" applyBorder="1" applyAlignment="1">
      <alignment horizontal="center" vertical="center" wrapText="1"/>
    </xf>
    <xf numFmtId="201" fontId="76" fillId="9" borderId="66" xfId="3" applyNumberFormat="1" applyFont="1" applyFill="1" applyBorder="1" applyAlignment="1">
      <alignment horizontal="center" vertical="center" wrapText="1"/>
    </xf>
    <xf numFmtId="0" fontId="76" fillId="9" borderId="67" xfId="3" applyFont="1" applyFill="1" applyBorder="1" applyAlignment="1">
      <alignment horizontal="center" vertical="center" wrapText="1"/>
    </xf>
    <xf numFmtId="201" fontId="38" fillId="3" borderId="81" xfId="3" applyNumberFormat="1" applyFont="1" applyFill="1" applyBorder="1" applyAlignment="1">
      <alignment horizontal="center" vertical="center" wrapText="1"/>
    </xf>
    <xf numFmtId="201" fontId="38" fillId="2" borderId="79" xfId="3" applyNumberFormat="1" applyFont="1" applyFill="1" applyBorder="1" applyAlignment="1">
      <alignment horizontal="center" vertical="center" wrapText="1"/>
    </xf>
    <xf numFmtId="0" fontId="35" fillId="0" borderId="39" xfId="3" quotePrefix="1" applyFont="1" applyBorder="1" applyAlignment="1">
      <alignment horizontal="left" vertical="center" wrapText="1"/>
    </xf>
    <xf numFmtId="0" fontId="67" fillId="0" borderId="46" xfId="3" applyFont="1" applyBorder="1" applyAlignment="1">
      <alignment horizontal="center" vertical="center" wrapText="1"/>
    </xf>
    <xf numFmtId="0" fontId="77" fillId="0" borderId="46" xfId="3" applyFont="1" applyBorder="1" applyAlignment="1">
      <alignment vertical="center" wrapText="1"/>
    </xf>
    <xf numFmtId="0" fontId="38" fillId="0" borderId="36" xfId="3" applyFont="1" applyBorder="1" applyAlignment="1">
      <alignment horizontal="center" vertical="center" wrapText="1"/>
    </xf>
    <xf numFmtId="0" fontId="125" fillId="0" borderId="38" xfId="4" applyNumberFormat="1" applyFont="1" applyFill="1" applyBorder="1" applyAlignment="1">
      <alignment horizontal="center" vertical="center"/>
    </xf>
    <xf numFmtId="14" fontId="102" fillId="2" borderId="39" xfId="4" applyNumberFormat="1" applyFont="1" applyFill="1" applyBorder="1" applyAlignment="1">
      <alignment horizontal="center" vertical="center"/>
    </xf>
    <xf numFmtId="0" fontId="130" fillId="0" borderId="40" xfId="1" applyFont="1" applyBorder="1" applyAlignment="1">
      <alignment horizontal="center" vertical="center" wrapText="1"/>
    </xf>
    <xf numFmtId="0" fontId="130" fillId="0" borderId="41" xfId="1" applyFont="1" applyBorder="1" applyAlignment="1">
      <alignment horizontal="center" vertical="center" wrapText="1"/>
    </xf>
    <xf numFmtId="190" fontId="102" fillId="2" borderId="41" xfId="4" applyNumberFormat="1" applyFont="1" applyFill="1" applyBorder="1" applyAlignment="1">
      <alignment horizontal="center" vertical="center"/>
    </xf>
    <xf numFmtId="190" fontId="125" fillId="2" borderId="46" xfId="5" applyNumberFormat="1" applyFont="1" applyFill="1" applyBorder="1" applyAlignment="1">
      <alignment horizontal="center" vertical="center"/>
    </xf>
    <xf numFmtId="14" fontId="89" fillId="2" borderId="2" xfId="1" applyNumberFormat="1" applyFont="1" applyFill="1" applyBorder="1" applyAlignment="1">
      <alignment horizontal="center" vertical="center"/>
    </xf>
    <xf numFmtId="0" fontId="38" fillId="0" borderId="82" xfId="3" applyFont="1" applyBorder="1" applyAlignment="1">
      <alignment horizontal="center" vertical="center" wrapText="1"/>
    </xf>
    <xf numFmtId="0" fontId="103" fillId="0" borderId="0" xfId="1" applyFont="1" applyAlignment="1">
      <alignment horizontal="left" vertical="center"/>
    </xf>
    <xf numFmtId="49" fontId="107" fillId="0" borderId="0" xfId="1" applyNumberFormat="1" applyFont="1" applyBorder="1" applyAlignment="1">
      <alignment vertical="center"/>
    </xf>
    <xf numFmtId="0" fontId="102" fillId="0" borderId="0" xfId="1" applyFont="1" applyBorder="1" applyAlignment="1">
      <alignment vertical="center"/>
    </xf>
    <xf numFmtId="49" fontId="107" fillId="2" borderId="0" xfId="1" applyNumberFormat="1" applyFont="1" applyFill="1" applyBorder="1" applyAlignment="1">
      <alignment horizontal="center" vertical="center"/>
    </xf>
    <xf numFmtId="0" fontId="105" fillId="0" borderId="0" xfId="1" applyFont="1" applyBorder="1" applyAlignment="1">
      <alignment vertical="center"/>
    </xf>
    <xf numFmtId="49" fontId="106" fillId="2" borderId="0" xfId="0" applyNumberFormat="1" applyFont="1" applyFill="1" applyBorder="1">
      <alignment vertical="center"/>
    </xf>
    <xf numFmtId="0" fontId="114" fillId="0" borderId="0" xfId="1" applyFont="1" applyBorder="1" applyAlignment="1">
      <alignment vertical="center"/>
    </xf>
    <xf numFmtId="49" fontId="114" fillId="0" borderId="0" xfId="1" applyNumberFormat="1" applyFont="1" applyBorder="1" applyAlignment="1">
      <alignment vertical="center"/>
    </xf>
    <xf numFmtId="0" fontId="115" fillId="0" borderId="0" xfId="1" applyFont="1" applyBorder="1" applyAlignment="1">
      <alignment vertical="center"/>
    </xf>
    <xf numFmtId="49" fontId="112" fillId="2" borderId="0" xfId="1" applyNumberFormat="1" applyFont="1" applyFill="1" applyBorder="1" applyAlignment="1">
      <alignment vertical="center"/>
    </xf>
    <xf numFmtId="49" fontId="114" fillId="2" borderId="0" xfId="1" applyNumberFormat="1" applyFont="1" applyFill="1" applyBorder="1" applyAlignment="1">
      <alignment vertical="center"/>
    </xf>
    <xf numFmtId="49" fontId="114" fillId="13" borderId="0" xfId="1" applyNumberFormat="1" applyFont="1" applyFill="1" applyBorder="1" applyAlignment="1">
      <alignment vertical="center"/>
    </xf>
    <xf numFmtId="0" fontId="115" fillId="13" borderId="0" xfId="1" applyFont="1" applyFill="1" applyBorder="1" applyAlignment="1">
      <alignment vertical="center"/>
    </xf>
    <xf numFmtId="0" fontId="104" fillId="0" borderId="0" xfId="1" applyFont="1" applyBorder="1" applyAlignment="1">
      <alignment vertical="center"/>
    </xf>
    <xf numFmtId="49" fontId="117" fillId="0" borderId="0" xfId="1" applyNumberFormat="1" applyFont="1" applyBorder="1" applyAlignment="1">
      <alignment vertical="center"/>
    </xf>
    <xf numFmtId="0" fontId="117" fillId="0" borderId="0" xfId="1" applyFont="1" applyBorder="1" applyAlignment="1">
      <alignment vertical="center"/>
    </xf>
    <xf numFmtId="0" fontId="113" fillId="0" borderId="0" xfId="1" applyFont="1" applyBorder="1" applyAlignment="1">
      <alignment vertical="center"/>
    </xf>
    <xf numFmtId="0" fontId="107" fillId="0" borderId="0" xfId="1" applyFont="1" applyBorder="1" applyAlignment="1">
      <alignment vertical="center"/>
    </xf>
    <xf numFmtId="49" fontId="112" fillId="0" borderId="0" xfId="1" applyNumberFormat="1" applyFont="1" applyBorder="1" applyAlignment="1">
      <alignment vertical="center"/>
    </xf>
    <xf numFmtId="0" fontId="92" fillId="0" borderId="0" xfId="1" applyFont="1" applyAlignment="1">
      <alignment vertical="center" wrapText="1"/>
    </xf>
    <xf numFmtId="0" fontId="151" fillId="0" borderId="0" xfId="1" applyFont="1"/>
    <xf numFmtId="201" fontId="38" fillId="19" borderId="2" xfId="3" applyNumberFormat="1" applyFont="1" applyFill="1" applyBorder="1" applyAlignment="1">
      <alignment horizontal="center" vertical="center" wrapText="1"/>
    </xf>
    <xf numFmtId="0" fontId="38" fillId="19" borderId="2" xfId="3" applyFont="1" applyFill="1" applyBorder="1" applyAlignment="1">
      <alignment horizontal="center" vertical="center" wrapText="1"/>
    </xf>
    <xf numFmtId="49" fontId="119" fillId="0" borderId="0" xfId="5" applyNumberFormat="1" applyFont="1" applyAlignment="1">
      <alignment vertical="center" wrapText="1"/>
    </xf>
    <xf numFmtId="49" fontId="152" fillId="0" borderId="0" xfId="5" applyNumberFormat="1" applyFont="1" applyAlignment="1">
      <alignment vertical="center" wrapText="1"/>
    </xf>
    <xf numFmtId="0" fontId="38" fillId="0" borderId="1" xfId="3" applyFont="1" applyBorder="1" applyAlignment="1">
      <alignment horizontal="center" vertical="center" wrapText="1"/>
    </xf>
    <xf numFmtId="201" fontId="38" fillId="3" borderId="1" xfId="3" applyNumberFormat="1" applyFont="1" applyFill="1" applyBorder="1" applyAlignment="1">
      <alignment horizontal="center" vertical="center" wrapText="1"/>
    </xf>
    <xf numFmtId="201" fontId="38" fillId="2" borderId="1" xfId="3" applyNumberFormat="1" applyFont="1" applyFill="1" applyBorder="1" applyAlignment="1">
      <alignment horizontal="center" vertical="center" wrapText="1"/>
    </xf>
    <xf numFmtId="0" fontId="38" fillId="2" borderId="5" xfId="3" applyFont="1" applyFill="1" applyBorder="1" applyAlignment="1">
      <alignment horizontal="center" vertical="center" wrapText="1"/>
    </xf>
    <xf numFmtId="0" fontId="38" fillId="8" borderId="2" xfId="3" applyFont="1" applyFill="1" applyBorder="1" applyAlignment="1">
      <alignment horizontal="center" vertical="center" wrapText="1"/>
    </xf>
    <xf numFmtId="0" fontId="38" fillId="3" borderId="2" xfId="3" applyFont="1" applyFill="1" applyBorder="1" applyAlignment="1">
      <alignment horizontal="center" vertical="center" wrapText="1"/>
    </xf>
    <xf numFmtId="14" fontId="102" fillId="3" borderId="1" xfId="5" applyNumberFormat="1" applyFont="1" applyFill="1" applyBorder="1" applyAlignment="1" applyProtection="1">
      <alignment horizontal="center" vertical="center"/>
      <protection locked="0"/>
    </xf>
    <xf numFmtId="0" fontId="125" fillId="0" borderId="2" xfId="1" applyFont="1" applyBorder="1" applyAlignment="1">
      <alignment horizontal="center" vertical="center"/>
    </xf>
    <xf numFmtId="0" fontId="125" fillId="0" borderId="6" xfId="1" applyFont="1" applyBorder="1" applyAlignment="1">
      <alignment horizontal="center" vertical="center" wrapText="1"/>
    </xf>
    <xf numFmtId="0" fontId="125" fillId="3" borderId="2" xfId="1" applyFont="1" applyFill="1" applyBorder="1" applyAlignment="1">
      <alignment horizontal="center" vertical="center" wrapText="1"/>
    </xf>
    <xf numFmtId="14" fontId="125" fillId="2" borderId="2" xfId="1" applyNumberFormat="1" applyFont="1" applyFill="1" applyBorder="1" applyAlignment="1">
      <alignment horizontal="center" vertical="center"/>
    </xf>
    <xf numFmtId="0" fontId="38" fillId="19" borderId="1" xfId="3" applyFont="1" applyFill="1" applyBorder="1" applyAlignment="1">
      <alignment horizontal="center" vertical="center" wrapText="1"/>
    </xf>
    <xf numFmtId="0" fontId="67" fillId="0" borderId="61" xfId="3" applyFont="1" applyBorder="1" applyAlignment="1">
      <alignment vertical="center" wrapText="1"/>
    </xf>
    <xf numFmtId="0" fontId="36" fillId="0" borderId="2" xfId="3" quotePrefix="1" applyFont="1" applyBorder="1" applyAlignment="1">
      <alignment horizontal="center" vertical="center" wrapText="1"/>
    </xf>
    <xf numFmtId="210" fontId="76" fillId="4" borderId="29" xfId="3" applyNumberFormat="1" applyFont="1" applyFill="1" applyBorder="1" applyAlignment="1">
      <alignment horizontal="center" vertical="center" wrapText="1"/>
    </xf>
    <xf numFmtId="0" fontId="154" fillId="0" borderId="2" xfId="3" applyFont="1" applyBorder="1" applyAlignment="1">
      <alignment horizontal="center" vertical="center" wrapText="1"/>
    </xf>
    <xf numFmtId="0" fontId="125" fillId="0" borderId="6" xfId="1" applyFont="1" applyBorder="1" applyAlignment="1">
      <alignment horizontal="center" vertical="center" wrapText="1"/>
    </xf>
    <xf numFmtId="0" fontId="125" fillId="3" borderId="2" xfId="1" applyFont="1" applyFill="1" applyBorder="1" applyAlignment="1">
      <alignment horizontal="center" vertical="center" wrapText="1"/>
    </xf>
    <xf numFmtId="14" fontId="125" fillId="2" borderId="2" xfId="1" applyNumberFormat="1" applyFont="1" applyFill="1" applyBorder="1" applyAlignment="1">
      <alignment horizontal="center" vertical="center"/>
    </xf>
    <xf numFmtId="0" fontId="75" fillId="3" borderId="41" xfId="10" applyFill="1" applyBorder="1" applyAlignment="1">
      <alignment horizontal="center" vertical="center"/>
    </xf>
    <xf numFmtId="0" fontId="75" fillId="3" borderId="46" xfId="10" applyFill="1" applyBorder="1" applyAlignment="1">
      <alignment horizontal="center" vertical="center"/>
    </xf>
    <xf numFmtId="0" fontId="102" fillId="3" borderId="2" xfId="5" applyFont="1" applyFill="1" applyBorder="1" applyAlignment="1">
      <alignment horizontal="center" vertical="center" wrapText="1" shrinkToFit="1"/>
    </xf>
    <xf numFmtId="14" fontId="102" fillId="3" borderId="2" xfId="5" applyNumberFormat="1" applyFont="1" applyFill="1" applyBorder="1" applyAlignment="1" applyProtection="1">
      <alignment horizontal="center" vertical="center" wrapText="1"/>
      <protection locked="0"/>
    </xf>
    <xf numFmtId="0" fontId="93" fillId="0" borderId="11" xfId="7" applyFont="1" applyBorder="1" applyAlignment="1">
      <alignment horizontal="left" vertical="center" wrapText="1"/>
    </xf>
    <xf numFmtId="0" fontId="93" fillId="0" borderId="0" xfId="7" applyFont="1" applyBorder="1" applyAlignment="1">
      <alignment horizontal="left" vertical="center" wrapText="1"/>
    </xf>
    <xf numFmtId="0" fontId="105" fillId="0" borderId="0" xfId="0" applyFont="1" applyBorder="1" applyAlignment="1">
      <alignment horizontal="center" vertical="center"/>
    </xf>
    <xf numFmtId="0" fontId="125" fillId="0" borderId="1" xfId="0" applyFont="1" applyBorder="1" applyAlignment="1">
      <alignment horizontal="center" vertical="center"/>
    </xf>
    <xf numFmtId="0" fontId="125" fillId="0" borderId="3" xfId="0" applyFont="1" applyBorder="1" applyAlignment="1">
      <alignment horizontal="center" vertical="center"/>
    </xf>
    <xf numFmtId="0" fontId="125" fillId="0" borderId="4" xfId="0" applyFont="1" applyBorder="1" applyAlignment="1">
      <alignment horizontal="center" vertical="center"/>
    </xf>
    <xf numFmtId="212" fontId="155" fillId="0" borderId="0" xfId="0" applyNumberFormat="1" applyFont="1" applyAlignment="1">
      <alignment horizontal="center" vertical="center"/>
    </xf>
    <xf numFmtId="43" fontId="102" fillId="0" borderId="0" xfId="1" applyNumberFormat="1" applyFont="1" applyAlignment="1">
      <alignment vertical="center" shrinkToFit="1"/>
    </xf>
    <xf numFmtId="43" fontId="134" fillId="0" borderId="0" xfId="1" applyNumberFormat="1" applyFont="1" applyAlignment="1">
      <alignment vertical="center"/>
    </xf>
    <xf numFmtId="43" fontId="125" fillId="0" borderId="0" xfId="4" applyNumberFormat="1" applyFont="1" applyFill="1" applyBorder="1" applyAlignment="1">
      <alignment vertical="center" shrinkToFit="1"/>
    </xf>
    <xf numFmtId="43" fontId="134" fillId="0" borderId="0" xfId="1" applyNumberFormat="1" applyFont="1" applyAlignment="1">
      <alignment horizontal="center" vertical="center"/>
    </xf>
    <xf numFmtId="0" fontId="102" fillId="3" borderId="41" xfId="1" applyFont="1" applyFill="1" applyBorder="1" applyAlignment="1">
      <alignment horizontal="center" vertical="center" wrapText="1" shrinkToFit="1"/>
    </xf>
    <xf numFmtId="0" fontId="125" fillId="0" borderId="2" xfId="1" applyFont="1" applyBorder="1" applyAlignment="1">
      <alignment horizontal="center" vertical="center" wrapText="1"/>
    </xf>
    <xf numFmtId="0" fontId="105" fillId="0" borderId="0" xfId="0" applyFont="1" applyBorder="1" applyAlignment="1">
      <alignment horizontal="center" vertical="center"/>
    </xf>
    <xf numFmtId="0" fontId="125" fillId="3" borderId="2" xfId="1" applyFont="1" applyFill="1" applyBorder="1" applyAlignment="1">
      <alignment horizontal="center" vertical="center" wrapText="1"/>
    </xf>
    <xf numFmtId="14" fontId="125" fillId="2" borderId="2" xfId="1" applyNumberFormat="1" applyFont="1" applyFill="1" applyBorder="1" applyAlignment="1">
      <alignment horizontal="center" vertical="center"/>
    </xf>
    <xf numFmtId="0" fontId="125" fillId="3" borderId="2" xfId="1" applyFont="1" applyFill="1" applyBorder="1" applyAlignment="1">
      <alignment horizontal="center" vertical="center" wrapText="1" shrinkToFit="1"/>
    </xf>
    <xf numFmtId="0" fontId="76" fillId="4" borderId="1" xfId="3" applyFont="1" applyFill="1" applyBorder="1" applyAlignment="1">
      <alignment horizontal="center" vertical="center" wrapText="1"/>
    </xf>
    <xf numFmtId="0" fontId="76" fillId="4" borderId="29" xfId="3" applyFont="1" applyFill="1" applyBorder="1" applyAlignment="1">
      <alignment horizontal="center" vertical="center" wrapText="1"/>
    </xf>
    <xf numFmtId="0" fontId="38" fillId="0" borderId="2" xfId="3" applyFont="1" applyBorder="1" applyAlignment="1">
      <alignment horizontal="center" vertical="center" wrapText="1"/>
    </xf>
    <xf numFmtId="0" fontId="36" fillId="0" borderId="11" xfId="3" applyFont="1" applyBorder="1" applyAlignment="1">
      <alignment horizontal="left" vertical="center"/>
    </xf>
    <xf numFmtId="0" fontId="38" fillId="0" borderId="1" xfId="3" applyFont="1" applyBorder="1" applyAlignment="1">
      <alignment horizontal="center" vertical="center" wrapText="1"/>
    </xf>
    <xf numFmtId="0" fontId="38" fillId="0" borderId="4" xfId="3" applyFont="1" applyBorder="1" applyAlignment="1">
      <alignment horizontal="center" vertical="center" wrapText="1"/>
    </xf>
    <xf numFmtId="201" fontId="38" fillId="3" borderId="4" xfId="3" applyNumberFormat="1" applyFont="1" applyFill="1" applyBorder="1" applyAlignment="1">
      <alignment horizontal="center" vertical="center" wrapText="1"/>
    </xf>
    <xf numFmtId="201" fontId="38" fillId="2" borderId="4" xfId="3" applyNumberFormat="1" applyFont="1" applyFill="1" applyBorder="1" applyAlignment="1">
      <alignment horizontal="center" vertical="center" wrapText="1"/>
    </xf>
    <xf numFmtId="0" fontId="76" fillId="4" borderId="29" xfId="3" applyFont="1" applyFill="1" applyBorder="1" applyAlignment="1">
      <alignment horizontal="center" vertical="center" wrapText="1"/>
    </xf>
    <xf numFmtId="0" fontId="33" fillId="18" borderId="69" xfId="3" applyFont="1" applyFill="1" applyBorder="1" applyAlignment="1">
      <alignment horizontal="center" vertical="center" wrapText="1"/>
    </xf>
    <xf numFmtId="0" fontId="38" fillId="0" borderId="2" xfId="3" applyFont="1" applyBorder="1" applyAlignment="1">
      <alignment horizontal="center" vertical="center" wrapText="1"/>
    </xf>
    <xf numFmtId="14" fontId="89" fillId="2" borderId="2" xfId="1" applyNumberFormat="1" applyFont="1" applyFill="1" applyBorder="1" applyAlignment="1">
      <alignment horizontal="center" vertical="center"/>
    </xf>
    <xf numFmtId="0" fontId="121" fillId="0" borderId="2" xfId="1" applyFont="1" applyBorder="1" applyAlignment="1">
      <alignment horizontal="center" vertical="center"/>
    </xf>
    <xf numFmtId="189" fontId="121" fillId="0" borderId="1" xfId="1" applyNumberFormat="1" applyFont="1" applyBorder="1" applyAlignment="1">
      <alignment horizontal="center" vertical="center"/>
    </xf>
    <xf numFmtId="0" fontId="121" fillId="0" borderId="1" xfId="1" applyFont="1" applyBorder="1" applyAlignment="1">
      <alignment horizontal="center" vertical="center" wrapText="1"/>
    </xf>
    <xf numFmtId="0" fontId="121" fillId="0" borderId="2" xfId="1" applyFont="1" applyBorder="1" applyAlignment="1">
      <alignment horizontal="center" vertical="center" wrapText="1"/>
    </xf>
    <xf numFmtId="0" fontId="68" fillId="0" borderId="59" xfId="0" applyFont="1" applyBorder="1" applyAlignment="1">
      <alignment horizontal="left" vertical="center" wrapText="1"/>
    </xf>
    <xf numFmtId="0" fontId="68" fillId="0" borderId="59" xfId="0" applyFont="1" applyBorder="1" applyAlignment="1">
      <alignment horizontal="left" vertical="center"/>
    </xf>
    <xf numFmtId="0" fontId="36" fillId="0" borderId="47" xfId="3" applyFont="1" applyBorder="1" applyAlignment="1">
      <alignment horizontal="left" vertical="center"/>
    </xf>
    <xf numFmtId="0" fontId="96" fillId="5" borderId="11" xfId="3" applyFont="1" applyFill="1" applyBorder="1" applyAlignment="1">
      <alignment horizontal="center" vertical="center"/>
    </xf>
    <xf numFmtId="183" fontId="83" fillId="5" borderId="0" xfId="3" applyNumberFormat="1" applyFont="1" applyFill="1" applyBorder="1" applyAlignment="1">
      <alignment horizontal="center" vertical="center"/>
    </xf>
    <xf numFmtId="0" fontId="97" fillId="0" borderId="11" xfId="0" applyFont="1" applyBorder="1" applyAlignment="1">
      <alignment horizontal="center" vertical="center"/>
    </xf>
    <xf numFmtId="0" fontId="97" fillId="0" borderId="35" xfId="0" applyFont="1" applyBorder="1" applyAlignment="1">
      <alignment horizontal="center" vertical="center"/>
    </xf>
    <xf numFmtId="183" fontId="83" fillId="5" borderId="27" xfId="3" applyNumberFormat="1" applyFont="1" applyFill="1" applyBorder="1" applyAlignment="1">
      <alignment horizontal="center" vertical="center"/>
    </xf>
    <xf numFmtId="0" fontId="0" fillId="0" borderId="36" xfId="0" applyBorder="1">
      <alignment vertical="center"/>
    </xf>
    <xf numFmtId="0" fontId="68" fillId="0" borderId="64" xfId="0" applyFont="1" applyBorder="1" applyAlignment="1">
      <alignment vertical="center" wrapText="1"/>
    </xf>
    <xf numFmtId="0" fontId="68" fillId="0" borderId="3" xfId="0" applyFont="1" applyBorder="1" applyAlignment="1">
      <alignment vertical="center" wrapText="1"/>
    </xf>
    <xf numFmtId="0" fontId="80" fillId="0" borderId="10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201" fontId="38" fillId="3" borderId="4" xfId="0" applyNumberFormat="1" applyFont="1" applyFill="1" applyBorder="1" applyAlignment="1">
      <alignment horizontal="center" vertical="center"/>
    </xf>
    <xf numFmtId="201" fontId="38" fillId="2" borderId="4" xfId="0" applyNumberFormat="1" applyFont="1" applyFill="1" applyBorder="1" applyAlignment="1">
      <alignment horizontal="center" vertical="center"/>
    </xf>
    <xf numFmtId="0" fontId="68" fillId="0" borderId="0" xfId="0" applyFont="1" applyBorder="1" applyAlignment="1">
      <alignment horizontal="left" vertical="center"/>
    </xf>
    <xf numFmtId="0" fontId="66" fillId="0" borderId="41" xfId="3" quotePrefix="1" applyFont="1" applyBorder="1" applyAlignment="1">
      <alignment horizontal="left" vertical="center" wrapText="1"/>
    </xf>
    <xf numFmtId="201" fontId="38" fillId="2" borderId="7" xfId="3" applyNumberFormat="1" applyFont="1" applyFill="1" applyBorder="1" applyAlignment="1">
      <alignment horizontal="center" vertical="center" wrapText="1"/>
    </xf>
    <xf numFmtId="1" fontId="0" fillId="0" borderId="0" xfId="0" applyNumberFormat="1">
      <alignment vertical="center"/>
    </xf>
    <xf numFmtId="182" fontId="38" fillId="0" borderId="2" xfId="3" applyNumberFormat="1" applyFont="1" applyBorder="1" applyAlignment="1">
      <alignment horizontal="center" vertical="center" wrapText="1"/>
    </xf>
    <xf numFmtId="2" fontId="38" fillId="0" borderId="10" xfId="3" applyNumberFormat="1" applyFont="1" applyBorder="1" applyAlignment="1">
      <alignment horizontal="center" vertical="center" wrapText="1"/>
    </xf>
    <xf numFmtId="201" fontId="38" fillId="2" borderId="54" xfId="3" applyNumberFormat="1" applyFont="1" applyFill="1" applyBorder="1" applyAlignment="1">
      <alignment horizontal="center" vertical="center" wrapText="1"/>
    </xf>
    <xf numFmtId="0" fontId="67" fillId="0" borderId="4" xfId="3" quotePrefix="1" applyFont="1" applyBorder="1" applyAlignment="1">
      <alignment horizontal="left" vertical="center" wrapText="1"/>
    </xf>
    <xf numFmtId="201" fontId="38" fillId="3" borderId="56" xfId="3" applyNumberFormat="1" applyFont="1" applyFill="1" applyBorder="1" applyAlignment="1">
      <alignment horizontal="center" vertical="center" wrapText="1"/>
    </xf>
    <xf numFmtId="201" fontId="38" fillId="3" borderId="5" xfId="3" applyNumberFormat="1" applyFont="1" applyFill="1" applyBorder="1" applyAlignment="1">
      <alignment horizontal="center" vertical="center" wrapText="1"/>
    </xf>
    <xf numFmtId="201" fontId="38" fillId="3" borderId="61" xfId="3" applyNumberFormat="1" applyFont="1" applyFill="1" applyBorder="1" applyAlignment="1">
      <alignment horizontal="center" vertical="center" wrapText="1"/>
    </xf>
    <xf numFmtId="0" fontId="67" fillId="0" borderId="2" xfId="3" quotePrefix="1" applyFont="1" applyBorder="1" applyAlignment="1">
      <alignment horizontal="left" vertical="top" wrapText="1"/>
    </xf>
    <xf numFmtId="0" fontId="67" fillId="0" borderId="4" xfId="3" quotePrefix="1" applyFont="1" applyBorder="1" applyAlignment="1">
      <alignment horizontal="left" vertical="top" wrapText="1"/>
    </xf>
    <xf numFmtId="0" fontId="68" fillId="0" borderId="1" xfId="0" applyFont="1" applyBorder="1" applyAlignment="1">
      <alignment vertical="center" wrapText="1"/>
    </xf>
    <xf numFmtId="0" fontId="68" fillId="0" borderId="48" xfId="0" applyFont="1" applyBorder="1" applyAlignment="1">
      <alignment vertical="center" wrapText="1"/>
    </xf>
    <xf numFmtId="0" fontId="107" fillId="9" borderId="4" xfId="1" applyFont="1" applyFill="1" applyBorder="1" applyAlignment="1">
      <alignment horizontal="center" vertical="center"/>
    </xf>
    <xf numFmtId="0" fontId="107" fillId="9" borderId="2" xfId="1" applyFont="1" applyFill="1" applyBorder="1" applyAlignment="1">
      <alignment horizontal="center" vertical="center"/>
    </xf>
    <xf numFmtId="0" fontId="107" fillId="9" borderId="2" xfId="1" applyFont="1" applyFill="1" applyBorder="1" applyAlignment="1">
      <alignment horizontal="center" vertical="center" wrapText="1"/>
    </xf>
    <xf numFmtId="0" fontId="107" fillId="13" borderId="24" xfId="1" applyFont="1" applyFill="1" applyBorder="1" applyAlignment="1">
      <alignment horizontal="center" vertical="center" shrinkToFit="1"/>
    </xf>
    <xf numFmtId="9" fontId="107" fillId="13" borderId="41" xfId="2" applyFont="1" applyFill="1" applyBorder="1" applyAlignment="1">
      <alignment horizontal="center" vertical="center"/>
    </xf>
    <xf numFmtId="0" fontId="102" fillId="0" borderId="84" xfId="0" applyFont="1" applyBorder="1" applyAlignment="1">
      <alignment horizontal="center" vertical="center" wrapText="1"/>
    </xf>
    <xf numFmtId="14" fontId="102" fillId="0" borderId="84" xfId="0" applyNumberFormat="1" applyFont="1" applyBorder="1" applyAlignment="1">
      <alignment horizontal="center" vertical="center" wrapText="1"/>
    </xf>
    <xf numFmtId="0" fontId="121" fillId="0" borderId="0" xfId="1" applyFont="1" applyBorder="1" applyAlignment="1">
      <alignment horizontal="center" vertical="center" wrapText="1"/>
    </xf>
    <xf numFmtId="0" fontId="144" fillId="0" borderId="35" xfId="1" applyFont="1" applyBorder="1" applyAlignment="1">
      <alignment vertical="center"/>
    </xf>
    <xf numFmtId="0" fontId="146" fillId="0" borderId="37" xfId="1" applyFont="1" applyBorder="1" applyAlignment="1">
      <alignment horizontal="center" vertical="center"/>
    </xf>
    <xf numFmtId="0" fontId="146" fillId="0" borderId="39" xfId="1" applyFont="1" applyBorder="1" applyAlignment="1">
      <alignment horizontal="center" vertical="center"/>
    </xf>
    <xf numFmtId="0" fontId="146" fillId="0" borderId="38" xfId="1" applyFont="1" applyBorder="1" applyAlignment="1">
      <alignment horizontal="center" vertical="center"/>
    </xf>
    <xf numFmtId="0" fontId="146" fillId="0" borderId="40" xfId="1" applyFont="1" applyBorder="1" applyAlignment="1">
      <alignment horizontal="center" vertical="center"/>
    </xf>
    <xf numFmtId="0" fontId="144" fillId="0" borderId="65" xfId="1" applyFont="1" applyBorder="1" applyAlignment="1">
      <alignment vertical="center"/>
    </xf>
    <xf numFmtId="0" fontId="144" fillId="0" borderId="67" xfId="1" applyFont="1" applyBorder="1" applyAlignment="1">
      <alignment vertical="center"/>
    </xf>
    <xf numFmtId="9" fontId="146" fillId="0" borderId="2" xfId="1" applyNumberFormat="1" applyFont="1" applyBorder="1" applyAlignment="1">
      <alignment horizontal="center" vertical="center"/>
    </xf>
    <xf numFmtId="189" fontId="146" fillId="0" borderId="41" xfId="1" applyNumberFormat="1" applyFont="1" applyBorder="1" applyAlignment="1">
      <alignment horizontal="center" vertical="center"/>
    </xf>
    <xf numFmtId="0" fontId="157" fillId="0" borderId="41" xfId="0" applyFont="1" applyBorder="1" applyAlignment="1">
      <alignment horizontal="center" vertical="center"/>
    </xf>
    <xf numFmtId="189" fontId="144" fillId="0" borderId="48" xfId="1" applyNumberFormat="1" applyFont="1" applyBorder="1" applyAlignment="1">
      <alignment horizontal="center" vertical="center"/>
    </xf>
    <xf numFmtId="2" fontId="102" fillId="0" borderId="84" xfId="0" applyNumberFormat="1" applyFont="1" applyBorder="1" applyAlignment="1">
      <alignment horizontal="center" vertical="center" wrapText="1"/>
    </xf>
    <xf numFmtId="1" fontId="102" fillId="0" borderId="84" xfId="0" applyNumberFormat="1" applyFont="1" applyBorder="1" applyAlignment="1">
      <alignment horizontal="center" vertical="center" wrapText="1"/>
    </xf>
    <xf numFmtId="0" fontId="107" fillId="9" borderId="3" xfId="1" applyFont="1" applyFill="1" applyBorder="1" applyAlignment="1">
      <alignment horizontal="center" vertical="center"/>
    </xf>
    <xf numFmtId="1" fontId="102" fillId="0" borderId="86" xfId="0" applyNumberFormat="1" applyFont="1" applyBorder="1" applyAlignment="1">
      <alignment horizontal="center" vertical="center" wrapText="1"/>
    </xf>
    <xf numFmtId="0" fontId="102" fillId="0" borderId="86" xfId="0" applyFont="1" applyBorder="1" applyAlignment="1">
      <alignment horizontal="center" vertical="center" wrapText="1"/>
    </xf>
    <xf numFmtId="14" fontId="102" fillId="0" borderId="86" xfId="0" applyNumberFormat="1" applyFont="1" applyBorder="1" applyAlignment="1">
      <alignment horizontal="center" vertical="center" wrapText="1"/>
    </xf>
    <xf numFmtId="9" fontId="107" fillId="13" borderId="42" xfId="2" applyFont="1" applyFill="1" applyBorder="1" applyAlignment="1">
      <alignment horizontal="center" vertical="center"/>
    </xf>
    <xf numFmtId="0" fontId="107" fillId="9" borderId="40" xfId="1" applyFont="1" applyFill="1" applyBorder="1" applyAlignment="1">
      <alignment horizontal="center" vertical="center"/>
    </xf>
    <xf numFmtId="0" fontId="107" fillId="9" borderId="40" xfId="1" applyFont="1" applyFill="1" applyBorder="1" applyAlignment="1">
      <alignment horizontal="center" vertical="center" wrapText="1"/>
    </xf>
    <xf numFmtId="0" fontId="107" fillId="9" borderId="14" xfId="1" applyFont="1" applyFill="1" applyBorder="1" applyAlignment="1">
      <alignment horizontal="center" vertical="center" wrapText="1"/>
    </xf>
    <xf numFmtId="1" fontId="102" fillId="0" borderId="29" xfId="0" applyNumberFormat="1" applyFont="1" applyBorder="1" applyAlignment="1">
      <alignment horizontal="center" vertical="center" wrapText="1"/>
    </xf>
    <xf numFmtId="0" fontId="158" fillId="0" borderId="0" xfId="1" quotePrefix="1" applyFont="1" applyAlignment="1">
      <alignment vertical="top" wrapText="1"/>
    </xf>
    <xf numFmtId="0" fontId="160" fillId="0" borderId="37" xfId="1" applyFont="1" applyBorder="1" applyAlignment="1">
      <alignment horizontal="center" vertical="center"/>
    </xf>
    <xf numFmtId="0" fontId="160" fillId="0" borderId="39" xfId="1" applyFont="1" applyBorder="1" applyAlignment="1">
      <alignment horizontal="center" vertical="center"/>
    </xf>
    <xf numFmtId="2" fontId="102" fillId="0" borderId="29" xfId="0" applyNumberFormat="1" applyFont="1" applyBorder="1" applyAlignment="1">
      <alignment horizontal="center" vertical="center" wrapText="1"/>
    </xf>
    <xf numFmtId="2" fontId="102" fillId="0" borderId="86" xfId="0" applyNumberFormat="1" applyFont="1" applyBorder="1" applyAlignment="1">
      <alignment horizontal="center" vertical="center" wrapText="1"/>
    </xf>
    <xf numFmtId="0" fontId="102" fillId="0" borderId="65" xfId="1" applyFont="1" applyBorder="1" applyAlignment="1">
      <alignment horizontal="center" vertical="center"/>
    </xf>
    <xf numFmtId="0" fontId="159" fillId="0" borderId="40" xfId="1" applyFont="1" applyBorder="1" applyAlignment="1">
      <alignment horizontal="center" vertical="center"/>
    </xf>
    <xf numFmtId="0" fontId="125" fillId="0" borderId="40" xfId="1" applyFont="1" applyBorder="1" applyAlignment="1">
      <alignment horizontal="center" vertical="center"/>
    </xf>
    <xf numFmtId="0" fontId="125" fillId="0" borderId="14" xfId="1" applyFont="1" applyBorder="1" applyAlignment="1">
      <alignment horizontal="center" vertical="center"/>
    </xf>
    <xf numFmtId="213" fontId="29" fillId="0" borderId="41" xfId="1" applyNumberFormat="1" applyFont="1" applyBorder="1" applyAlignment="1">
      <alignment horizontal="center" vertical="center"/>
    </xf>
    <xf numFmtId="213" fontId="29" fillId="0" borderId="67" xfId="1" applyNumberFormat="1" applyFont="1" applyBorder="1" applyAlignment="1">
      <alignment horizontal="center" vertical="center"/>
    </xf>
    <xf numFmtId="0" fontId="107" fillId="9" borderId="73" xfId="1" applyFont="1" applyFill="1" applyBorder="1" applyAlignment="1">
      <alignment horizontal="center" vertical="center"/>
    </xf>
    <xf numFmtId="1" fontId="102" fillId="0" borderId="88" xfId="0" applyNumberFormat="1" applyFont="1" applyBorder="1" applyAlignment="1">
      <alignment horizontal="center" vertical="center" wrapText="1"/>
    </xf>
    <xf numFmtId="2" fontId="102" fillId="0" borderId="88" xfId="0" applyNumberFormat="1" applyFont="1" applyBorder="1" applyAlignment="1">
      <alignment horizontal="center" vertical="center" wrapText="1"/>
    </xf>
    <xf numFmtId="0" fontId="102" fillId="0" borderId="88" xfId="0" applyFont="1" applyBorder="1" applyAlignment="1">
      <alignment horizontal="center" vertical="center" wrapText="1"/>
    </xf>
    <xf numFmtId="14" fontId="102" fillId="0" borderId="88" xfId="0" applyNumberFormat="1" applyFont="1" applyBorder="1" applyAlignment="1">
      <alignment horizontal="center" vertical="center" wrapText="1"/>
    </xf>
    <xf numFmtId="0" fontId="89" fillId="9" borderId="29" xfId="1" applyFont="1" applyFill="1" applyBorder="1" applyAlignment="1">
      <alignment horizontal="center" vertical="center"/>
    </xf>
    <xf numFmtId="0" fontId="139" fillId="0" borderId="0" xfId="1" applyFont="1" applyBorder="1" applyAlignment="1">
      <alignment vertical="center"/>
    </xf>
    <xf numFmtId="0" fontId="139" fillId="0" borderId="0" xfId="1" applyFont="1" applyAlignment="1">
      <alignment vertical="center"/>
    </xf>
    <xf numFmtId="0" fontId="161" fillId="0" borderId="0" xfId="1" applyFont="1" applyAlignment="1">
      <alignment vertical="center"/>
    </xf>
    <xf numFmtId="49" fontId="113" fillId="0" borderId="0" xfId="1" applyNumberFormat="1" applyFont="1" applyBorder="1" applyAlignment="1">
      <alignment horizontal="left" vertical="center" wrapText="1"/>
    </xf>
    <xf numFmtId="0" fontId="119" fillId="0" borderId="0" xfId="1" applyFont="1"/>
    <xf numFmtId="0" fontId="90" fillId="17" borderId="37" xfId="8" applyFont="1" applyFill="1" applyBorder="1" applyAlignment="1">
      <alignment horizontal="center" vertical="center" wrapText="1"/>
    </xf>
    <xf numFmtId="0" fontId="90" fillId="17" borderId="40" xfId="8" applyFont="1" applyFill="1" applyBorder="1" applyAlignment="1">
      <alignment horizontal="center" vertical="center" wrapText="1"/>
    </xf>
    <xf numFmtId="0" fontId="90" fillId="17" borderId="38" xfId="8" applyFont="1" applyFill="1" applyBorder="1" applyAlignment="1">
      <alignment horizontal="center" vertical="center" wrapText="1"/>
    </xf>
    <xf numFmtId="0" fontId="90" fillId="17" borderId="2" xfId="8" applyFont="1" applyFill="1" applyBorder="1" applyAlignment="1">
      <alignment horizontal="center" vertical="center" wrapText="1"/>
    </xf>
    <xf numFmtId="0" fontId="88" fillId="0" borderId="0" xfId="8" applyFont="1" applyBorder="1" applyAlignment="1">
      <alignment horizontal="center" vertical="center" shrinkToFit="1"/>
    </xf>
    <xf numFmtId="0" fontId="89" fillId="16" borderId="39" xfId="1" applyFont="1" applyFill="1" applyBorder="1" applyAlignment="1">
      <alignment horizontal="center" vertical="center" wrapText="1"/>
    </xf>
    <xf numFmtId="0" fontId="89" fillId="16" borderId="41" xfId="1" applyFont="1" applyFill="1" applyBorder="1" applyAlignment="1">
      <alignment horizontal="center" vertical="center"/>
    </xf>
    <xf numFmtId="0" fontId="89" fillId="16" borderId="38" xfId="1" applyFont="1" applyFill="1" applyBorder="1" applyAlignment="1">
      <alignment horizontal="center" vertical="center"/>
    </xf>
    <xf numFmtId="0" fontId="89" fillId="16" borderId="64" xfId="1" applyFont="1" applyFill="1" applyBorder="1" applyAlignment="1">
      <alignment horizontal="center" vertical="center" wrapText="1"/>
    </xf>
    <xf numFmtId="0" fontId="89" fillId="16" borderId="4" xfId="1" applyFont="1" applyFill="1" applyBorder="1" applyAlignment="1">
      <alignment horizontal="center" vertical="center" wrapText="1"/>
    </xf>
    <xf numFmtId="49" fontId="112" fillId="2" borderId="0" xfId="0" applyNumberFormat="1" applyFont="1" applyFill="1" applyBorder="1" applyAlignment="1">
      <alignment horizontal="left" vertical="center"/>
    </xf>
    <xf numFmtId="49" fontId="112" fillId="2" borderId="0" xfId="1" applyNumberFormat="1" applyFont="1" applyFill="1" applyBorder="1" applyAlignment="1">
      <alignment horizontal="left" vertical="center"/>
    </xf>
    <xf numFmtId="0" fontId="105" fillId="0" borderId="0" xfId="1" applyFont="1" applyBorder="1" applyAlignment="1">
      <alignment vertical="center" wrapText="1"/>
    </xf>
    <xf numFmtId="49" fontId="106" fillId="0" borderId="0" xfId="1" applyNumberFormat="1" applyFont="1" applyBorder="1" applyAlignment="1">
      <alignment horizontal="center" vertical="center"/>
    </xf>
    <xf numFmtId="49" fontId="113" fillId="0" borderId="0" xfId="0" applyNumberFormat="1" applyFont="1" applyBorder="1" applyAlignment="1">
      <alignment horizontal="left" vertical="top" wrapText="1"/>
    </xf>
    <xf numFmtId="49" fontId="113" fillId="0" borderId="0" xfId="1" applyNumberFormat="1" applyFont="1" applyBorder="1" applyAlignment="1">
      <alignment horizontal="left" vertical="center" wrapText="1"/>
    </xf>
    <xf numFmtId="49" fontId="117" fillId="0" borderId="0" xfId="1" applyNumberFormat="1" applyFont="1" applyBorder="1" applyAlignment="1">
      <alignment horizontal="left" vertical="center" wrapText="1"/>
    </xf>
    <xf numFmtId="49" fontId="113" fillId="0" borderId="0" xfId="1" applyNumberFormat="1" applyFont="1" applyBorder="1" applyAlignment="1">
      <alignment horizontal="left" vertical="center"/>
    </xf>
    <xf numFmtId="49" fontId="114" fillId="0" borderId="0" xfId="1" applyNumberFormat="1" applyFont="1" applyBorder="1" applyAlignment="1">
      <alignment horizontal="left" vertical="center"/>
    </xf>
    <xf numFmtId="49" fontId="107" fillId="0" borderId="0" xfId="1" applyNumberFormat="1" applyFont="1" applyBorder="1" applyAlignment="1">
      <alignment horizontal="left" vertical="center"/>
    </xf>
    <xf numFmtId="0" fontId="26" fillId="0" borderId="0" xfId="1" applyFont="1" applyAlignment="1">
      <alignment horizontal="left" vertical="center" wrapText="1"/>
    </xf>
    <xf numFmtId="0" fontId="26" fillId="0" borderId="0" xfId="1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20" fillId="0" borderId="0" xfId="1" applyFont="1" applyAlignment="1">
      <alignment horizontal="left"/>
    </xf>
    <xf numFmtId="0" fontId="21" fillId="0" borderId="0" xfId="1" applyFont="1" applyAlignment="1">
      <alignment horizontal="center" vertical="center" shrinkToFit="1"/>
    </xf>
    <xf numFmtId="0" fontId="22" fillId="0" borderId="0" xfId="1" applyFont="1" applyAlignment="1">
      <alignment horizontal="center" vertical="center" shrinkToFit="1"/>
    </xf>
    <xf numFmtId="0" fontId="69" fillId="0" borderId="0" xfId="1" applyFont="1" applyAlignment="1">
      <alignment horizontal="center" vertical="center" shrinkToFit="1"/>
    </xf>
    <xf numFmtId="0" fontId="72" fillId="3" borderId="0" xfId="1" applyFont="1" applyFill="1" applyAlignment="1">
      <alignment horizontal="center" vertical="center" shrinkToFit="1"/>
    </xf>
    <xf numFmtId="14" fontId="73" fillId="0" borderId="0" xfId="1" applyNumberFormat="1" applyFont="1" applyAlignment="1">
      <alignment horizontal="center" vertical="center"/>
    </xf>
    <xf numFmtId="0" fontId="73" fillId="0" borderId="0" xfId="1" applyFont="1" applyAlignment="1">
      <alignment horizontal="center" vertical="center"/>
    </xf>
    <xf numFmtId="0" fontId="52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106" fillId="0" borderId="32" xfId="1" applyFont="1" applyBorder="1" applyAlignment="1">
      <alignment horizontal="center" vertical="center"/>
    </xf>
    <xf numFmtId="0" fontId="106" fillId="0" borderId="33" xfId="1" applyFont="1" applyBorder="1" applyAlignment="1">
      <alignment horizontal="center" vertical="center"/>
    </xf>
    <xf numFmtId="0" fontId="107" fillId="0" borderId="14" xfId="1" applyFont="1" applyBorder="1" applyAlignment="1">
      <alignment horizontal="center" vertical="center"/>
    </xf>
    <xf numFmtId="0" fontId="107" fillId="0" borderId="72" xfId="1" applyFont="1" applyBorder="1" applyAlignment="1">
      <alignment horizontal="center" vertical="center"/>
    </xf>
    <xf numFmtId="0" fontId="107" fillId="0" borderId="73" xfId="1" applyFont="1" applyBorder="1" applyAlignment="1">
      <alignment horizontal="center" vertical="center"/>
    </xf>
    <xf numFmtId="0" fontId="107" fillId="0" borderId="40" xfId="1" applyFont="1" applyBorder="1" applyAlignment="1">
      <alignment horizontal="center" vertical="center"/>
    </xf>
    <xf numFmtId="0" fontId="107" fillId="0" borderId="44" xfId="1" applyFont="1" applyBorder="1" applyAlignment="1">
      <alignment horizontal="center" vertical="center"/>
    </xf>
    <xf numFmtId="0" fontId="103" fillId="19" borderId="0" xfId="1" applyFont="1" applyFill="1" applyAlignment="1">
      <alignment horizontal="center" vertical="center" shrinkToFit="1"/>
    </xf>
    <xf numFmtId="0" fontId="158" fillId="0" borderId="0" xfId="1" quotePrefix="1" applyFont="1" applyAlignment="1">
      <alignment horizontal="left" vertical="top" wrapText="1"/>
    </xf>
    <xf numFmtId="0" fontId="107" fillId="9" borderId="83" xfId="1" applyFont="1" applyFill="1" applyBorder="1" applyAlignment="1">
      <alignment horizontal="center" vertical="center"/>
    </xf>
    <xf numFmtId="0" fontId="107" fillId="9" borderId="45" xfId="1" applyFont="1" applyFill="1" applyBorder="1" applyAlignment="1">
      <alignment horizontal="center" vertical="center"/>
    </xf>
    <xf numFmtId="0" fontId="103" fillId="11" borderId="58" xfId="1" applyFont="1" applyFill="1" applyBorder="1" applyAlignment="1">
      <alignment horizontal="center" vertical="center" shrinkToFit="1"/>
    </xf>
    <xf numFmtId="0" fontId="103" fillId="11" borderId="59" xfId="1" applyFont="1" applyFill="1" applyBorder="1" applyAlignment="1">
      <alignment horizontal="center" vertical="center" shrinkToFit="1"/>
    </xf>
    <xf numFmtId="0" fontId="103" fillId="11" borderId="60" xfId="1" applyFont="1" applyFill="1" applyBorder="1" applyAlignment="1">
      <alignment horizontal="center" vertical="center" shrinkToFit="1"/>
    </xf>
    <xf numFmtId="0" fontId="107" fillId="9" borderId="64" xfId="1" applyFont="1" applyFill="1" applyBorder="1" applyAlignment="1">
      <alignment horizontal="center" vertical="center"/>
    </xf>
    <xf numFmtId="0" fontId="107" fillId="9" borderId="69" xfId="1" applyFont="1" applyFill="1" applyBorder="1" applyAlignment="1">
      <alignment horizontal="center" vertical="center"/>
    </xf>
    <xf numFmtId="0" fontId="107" fillId="9" borderId="44" xfId="1" applyFont="1" applyFill="1" applyBorder="1" applyAlignment="1">
      <alignment horizontal="center" vertical="center" wrapText="1"/>
    </xf>
    <xf numFmtId="0" fontId="107" fillId="9" borderId="29" xfId="1" applyFont="1" applyFill="1" applyBorder="1" applyAlignment="1">
      <alignment horizontal="center" vertical="center" wrapText="1"/>
    </xf>
    <xf numFmtId="0" fontId="102" fillId="0" borderId="61" xfId="0" applyFont="1" applyBorder="1" applyAlignment="1">
      <alignment horizontal="center" vertical="center" wrapText="1"/>
    </xf>
    <xf numFmtId="0" fontId="102" fillId="0" borderId="28" xfId="0" applyFont="1" applyBorder="1" applyAlignment="1">
      <alignment horizontal="center" vertical="center" wrapText="1"/>
    </xf>
    <xf numFmtId="0" fontId="102" fillId="0" borderId="85" xfId="0" applyFont="1" applyBorder="1" applyAlignment="1">
      <alignment horizontal="center" vertical="center" wrapText="1"/>
    </xf>
    <xf numFmtId="0" fontId="103" fillId="2" borderId="58" xfId="1" applyFont="1" applyFill="1" applyBorder="1" applyAlignment="1">
      <alignment horizontal="center" vertical="center" shrinkToFit="1"/>
    </xf>
    <xf numFmtId="0" fontId="103" fillId="2" borderId="59" xfId="1" applyFont="1" applyFill="1" applyBorder="1" applyAlignment="1">
      <alignment horizontal="center" vertical="center" shrinkToFit="1"/>
    </xf>
    <xf numFmtId="0" fontId="103" fillId="2" borderId="60" xfId="1" applyFont="1" applyFill="1" applyBorder="1" applyAlignment="1">
      <alignment horizontal="center" vertical="center" shrinkToFit="1"/>
    </xf>
    <xf numFmtId="0" fontId="106" fillId="9" borderId="87" xfId="1" applyFont="1" applyFill="1" applyBorder="1" applyAlignment="1">
      <alignment horizontal="center" vertical="center"/>
    </xf>
    <xf numFmtId="0" fontId="106" fillId="9" borderId="89" xfId="1" applyFont="1" applyFill="1" applyBorder="1" applyAlignment="1">
      <alignment horizontal="center" vertical="center"/>
    </xf>
    <xf numFmtId="0" fontId="106" fillId="9" borderId="64" xfId="1" applyFont="1" applyFill="1" applyBorder="1" applyAlignment="1">
      <alignment horizontal="center" vertical="center"/>
    </xf>
    <xf numFmtId="0" fontId="106" fillId="9" borderId="69" xfId="1" applyFont="1" applyFill="1" applyBorder="1" applyAlignment="1">
      <alignment horizontal="center" vertical="center"/>
    </xf>
    <xf numFmtId="0" fontId="89" fillId="9" borderId="56" xfId="1" applyFont="1" applyFill="1" applyBorder="1" applyAlignment="1">
      <alignment horizontal="center" vertical="center"/>
    </xf>
    <xf numFmtId="0" fontId="89" fillId="9" borderId="57" xfId="1" applyFont="1" applyFill="1" applyBorder="1" applyAlignment="1">
      <alignment horizontal="center" vertical="center"/>
    </xf>
    <xf numFmtId="0" fontId="82" fillId="0" borderId="0" xfId="0" applyFont="1" applyAlignment="1">
      <alignment horizontal="center" vertical="center" wrapText="1"/>
    </xf>
    <xf numFmtId="0" fontId="80" fillId="0" borderId="48" xfId="0" applyFont="1" applyBorder="1" applyAlignment="1">
      <alignment horizontal="center" vertical="center" wrapText="1"/>
    </xf>
    <xf numFmtId="0" fontId="80" fillId="0" borderId="49" xfId="0" applyFont="1" applyBorder="1" applyAlignment="1">
      <alignment horizontal="center" vertical="center" wrapText="1"/>
    </xf>
    <xf numFmtId="0" fontId="80" fillId="0" borderId="50" xfId="0" applyFont="1" applyBorder="1" applyAlignment="1">
      <alignment horizontal="center" vertical="center" wrapText="1"/>
    </xf>
    <xf numFmtId="0" fontId="35" fillId="0" borderId="51" xfId="3" applyFont="1" applyBorder="1" applyAlignment="1">
      <alignment horizontal="center" vertical="center" wrapText="1"/>
    </xf>
    <xf numFmtId="0" fontId="35" fillId="0" borderId="8" xfId="3" applyFont="1" applyBorder="1" applyAlignment="1">
      <alignment horizontal="center" vertical="center" wrapText="1"/>
    </xf>
    <xf numFmtId="0" fontId="35" fillId="0" borderId="11" xfId="3" applyFont="1" applyBorder="1" applyAlignment="1">
      <alignment horizontal="center" vertical="center" wrapText="1"/>
    </xf>
    <xf numFmtId="0" fontId="35" fillId="0" borderId="26" xfId="3" applyFont="1" applyBorder="1" applyAlignment="1">
      <alignment horizontal="center" vertical="center" wrapText="1"/>
    </xf>
    <xf numFmtId="0" fontId="35" fillId="0" borderId="52" xfId="3" applyFont="1" applyBorder="1" applyAlignment="1">
      <alignment horizontal="center" vertical="center" wrapText="1"/>
    </xf>
    <xf numFmtId="0" fontId="35" fillId="0" borderId="10" xfId="3" applyFont="1" applyBorder="1" applyAlignment="1">
      <alignment horizontal="center" vertical="center" wrapText="1"/>
    </xf>
    <xf numFmtId="0" fontId="68" fillId="0" borderId="25" xfId="0" applyFont="1" applyBorder="1" applyAlignment="1">
      <alignment horizontal="center" vertical="center" wrapText="1"/>
    </xf>
    <xf numFmtId="0" fontId="68" fillId="0" borderId="62" xfId="0" applyFont="1" applyBorder="1" applyAlignment="1">
      <alignment horizontal="center" vertical="center" wrapText="1"/>
    </xf>
    <xf numFmtId="0" fontId="80" fillId="0" borderId="11" xfId="0" applyFont="1" applyBorder="1" applyAlignment="1">
      <alignment horizontal="center" vertical="center" wrapText="1"/>
    </xf>
    <xf numFmtId="0" fontId="80" fillId="0" borderId="26" xfId="0" applyFont="1" applyBorder="1" applyAlignment="1">
      <alignment horizontal="center" vertical="center" wrapText="1"/>
    </xf>
    <xf numFmtId="0" fontId="80" fillId="0" borderId="52" xfId="0" applyFont="1" applyBorder="1" applyAlignment="1">
      <alignment horizontal="center" vertical="center" wrapText="1"/>
    </xf>
    <xf numFmtId="0" fontId="80" fillId="0" borderId="10" xfId="0" applyFont="1" applyBorder="1" applyAlignment="1">
      <alignment horizontal="center" vertical="center" wrapText="1"/>
    </xf>
    <xf numFmtId="0" fontId="79" fillId="0" borderId="4" xfId="0" applyFont="1" applyBorder="1" applyAlignment="1">
      <alignment horizontal="center" vertical="center" wrapText="1"/>
    </xf>
    <xf numFmtId="0" fontId="79" fillId="0" borderId="2" xfId="0" applyFont="1" applyBorder="1" applyAlignment="1">
      <alignment horizontal="center" vertical="center" wrapText="1"/>
    </xf>
    <xf numFmtId="0" fontId="76" fillId="9" borderId="2" xfId="3" applyFont="1" applyFill="1" applyBorder="1" applyAlignment="1">
      <alignment horizontal="center" vertical="center" wrapText="1"/>
    </xf>
    <xf numFmtId="0" fontId="35" fillId="0" borderId="5" xfId="3" applyFont="1" applyBorder="1" applyAlignment="1">
      <alignment horizontal="center" vertical="center" wrapText="1"/>
    </xf>
    <xf numFmtId="0" fontId="35" fillId="0" borderId="6" xfId="3" applyFont="1" applyBorder="1" applyAlignment="1">
      <alignment horizontal="center" vertical="center" wrapText="1"/>
    </xf>
    <xf numFmtId="0" fontId="38" fillId="19" borderId="2" xfId="3" applyFont="1" applyFill="1" applyBorder="1" applyAlignment="1">
      <alignment horizontal="center" vertical="center" wrapText="1"/>
    </xf>
    <xf numFmtId="0" fontId="35" fillId="0" borderId="1" xfId="3" applyFont="1" applyBorder="1" applyAlignment="1">
      <alignment horizontal="center" vertical="center" wrapText="1"/>
    </xf>
    <xf numFmtId="0" fontId="35" fillId="0" borderId="4" xfId="3" applyFont="1" applyBorder="1" applyAlignment="1">
      <alignment horizontal="center" vertical="center" wrapText="1"/>
    </xf>
    <xf numFmtId="0" fontId="35" fillId="0" borderId="2" xfId="3" quotePrefix="1" applyFont="1" applyBorder="1" applyAlignment="1">
      <alignment horizontal="left" vertical="center" wrapText="1"/>
    </xf>
    <xf numFmtId="201" fontId="38" fillId="3" borderId="1" xfId="3" applyNumberFormat="1" applyFont="1" applyFill="1" applyBorder="1" applyAlignment="1">
      <alignment horizontal="center" vertical="center" wrapText="1"/>
    </xf>
    <xf numFmtId="201" fontId="38" fillId="3" borderId="3" xfId="3" applyNumberFormat="1" applyFont="1" applyFill="1" applyBorder="1" applyAlignment="1">
      <alignment horizontal="center" vertical="center" wrapText="1"/>
    </xf>
    <xf numFmtId="201" fontId="38" fillId="3" borderId="4" xfId="3" applyNumberFormat="1" applyFont="1" applyFill="1" applyBorder="1" applyAlignment="1">
      <alignment horizontal="center" vertical="center" wrapText="1"/>
    </xf>
    <xf numFmtId="201" fontId="38" fillId="2" borderId="1" xfId="3" applyNumberFormat="1" applyFont="1" applyFill="1" applyBorder="1" applyAlignment="1">
      <alignment horizontal="center" vertical="center" wrapText="1"/>
    </xf>
    <xf numFmtId="201" fontId="38" fillId="2" borderId="3" xfId="3" applyNumberFormat="1" applyFont="1" applyFill="1" applyBorder="1" applyAlignment="1">
      <alignment horizontal="center" vertical="center" wrapText="1"/>
    </xf>
    <xf numFmtId="201" fontId="38" fillId="2" borderId="4" xfId="3" applyNumberFormat="1" applyFont="1" applyFill="1" applyBorder="1" applyAlignment="1">
      <alignment horizontal="center" vertical="center" wrapText="1"/>
    </xf>
    <xf numFmtId="0" fontId="39" fillId="0" borderId="5" xfId="3" applyFont="1" applyBorder="1" applyAlignment="1">
      <alignment horizontal="center" vertical="center" wrapText="1"/>
    </xf>
    <xf numFmtId="0" fontId="39" fillId="0" borderId="6" xfId="3" applyFont="1" applyBorder="1" applyAlignment="1">
      <alignment horizontal="center" vertical="center" wrapText="1"/>
    </xf>
    <xf numFmtId="14" fontId="34" fillId="3" borderId="2" xfId="3" applyNumberFormat="1" applyFont="1" applyFill="1" applyBorder="1" applyAlignment="1">
      <alignment horizontal="center" vertical="center"/>
    </xf>
    <xf numFmtId="0" fontId="76" fillId="2" borderId="2" xfId="3" applyFont="1" applyFill="1" applyBorder="1" applyAlignment="1">
      <alignment horizontal="center" vertical="center" shrinkToFit="1"/>
    </xf>
    <xf numFmtId="0" fontId="35" fillId="0" borderId="49" xfId="3" applyFont="1" applyBorder="1" applyAlignment="1">
      <alignment horizontal="center" vertical="center" wrapText="1"/>
    </xf>
    <xf numFmtId="0" fontId="35" fillId="0" borderId="50" xfId="3" applyFont="1" applyBorder="1" applyAlignment="1">
      <alignment horizontal="center" vertical="center" wrapText="1"/>
    </xf>
    <xf numFmtId="0" fontId="35" fillId="0" borderId="25" xfId="3" applyFont="1" applyBorder="1" applyAlignment="1">
      <alignment horizontal="center" vertical="center" wrapText="1" shrinkToFit="1"/>
    </xf>
    <xf numFmtId="0" fontId="35" fillId="0" borderId="9" xfId="3" applyFont="1" applyBorder="1" applyAlignment="1">
      <alignment horizontal="center" vertical="center" shrinkToFit="1"/>
    </xf>
    <xf numFmtId="199" fontId="79" fillId="0" borderId="3" xfId="0" applyNumberFormat="1" applyFont="1" applyBorder="1" applyAlignment="1">
      <alignment horizontal="center" vertical="center"/>
    </xf>
    <xf numFmtId="199" fontId="79" fillId="0" borderId="4" xfId="0" applyNumberFormat="1" applyFont="1" applyBorder="1" applyAlignment="1">
      <alignment horizontal="center" vertical="center"/>
    </xf>
    <xf numFmtId="0" fontId="38" fillId="0" borderId="1" xfId="3" applyFont="1" applyBorder="1" applyAlignment="1">
      <alignment horizontal="center" vertical="center" wrapText="1"/>
    </xf>
    <xf numFmtId="0" fontId="38" fillId="0" borderId="3" xfId="3" applyFont="1" applyBorder="1" applyAlignment="1">
      <alignment horizontal="center" vertical="center" wrapText="1"/>
    </xf>
    <xf numFmtId="0" fontId="38" fillId="0" borderId="4" xfId="3" applyFont="1" applyBorder="1" applyAlignment="1">
      <alignment horizontal="center" vertical="center" wrapText="1"/>
    </xf>
    <xf numFmtId="0" fontId="38" fillId="0" borderId="2" xfId="3" applyFont="1" applyBorder="1" applyAlignment="1">
      <alignment horizontal="center" vertical="center" shrinkToFit="1"/>
    </xf>
    <xf numFmtId="201" fontId="76" fillId="0" borderId="5" xfId="3" applyNumberFormat="1" applyFont="1" applyBorder="1" applyAlignment="1">
      <alignment horizontal="center" vertical="center"/>
    </xf>
    <xf numFmtId="201" fontId="76" fillId="0" borderId="6" xfId="3" applyNumberFormat="1" applyFont="1" applyBorder="1" applyAlignment="1">
      <alignment horizontal="center" vertical="center"/>
    </xf>
    <xf numFmtId="201" fontId="76" fillId="0" borderId="7" xfId="3" applyNumberFormat="1" applyFont="1" applyBorder="1" applyAlignment="1">
      <alignment horizontal="center" vertical="center"/>
    </xf>
    <xf numFmtId="201" fontId="76" fillId="0" borderId="8" xfId="3" applyNumberFormat="1" applyFont="1" applyBorder="1" applyAlignment="1">
      <alignment horizontal="center" vertical="center"/>
    </xf>
    <xf numFmtId="201" fontId="76" fillId="0" borderId="9" xfId="3" applyNumberFormat="1" applyFont="1" applyBorder="1" applyAlignment="1">
      <alignment horizontal="center" vertical="center"/>
    </xf>
    <xf numFmtId="201" fontId="76" fillId="0" borderId="10" xfId="3" applyNumberFormat="1" applyFont="1" applyBorder="1" applyAlignment="1">
      <alignment horizontal="center" vertical="center"/>
    </xf>
    <xf numFmtId="0" fontId="36" fillId="0" borderId="33" xfId="3" applyFont="1" applyBorder="1" applyAlignment="1">
      <alignment horizontal="left" vertical="center"/>
    </xf>
    <xf numFmtId="0" fontId="36" fillId="0" borderId="34" xfId="3" applyFont="1" applyBorder="1" applyAlignment="1">
      <alignment horizontal="left" vertical="center"/>
    </xf>
    <xf numFmtId="0" fontId="100" fillId="0" borderId="0" xfId="0" applyFont="1" applyAlignment="1">
      <alignment horizontal="center" vertical="center"/>
    </xf>
    <xf numFmtId="187" fontId="76" fillId="2" borderId="2" xfId="3" applyNumberFormat="1" applyFont="1" applyFill="1" applyBorder="1" applyAlignment="1">
      <alignment horizontal="center" vertical="center" wrapText="1"/>
    </xf>
    <xf numFmtId="0" fontId="36" fillId="0" borderId="2" xfId="3" applyFont="1" applyBorder="1" applyAlignment="1">
      <alignment horizontal="center" vertical="center" wrapText="1"/>
    </xf>
    <xf numFmtId="0" fontId="76" fillId="2" borderId="2" xfId="2" applyNumberFormat="1" applyFont="1" applyFill="1" applyBorder="1" applyAlignment="1">
      <alignment horizontal="center" vertical="center" wrapText="1"/>
    </xf>
    <xf numFmtId="0" fontId="76" fillId="4" borderId="44" xfId="3" applyFont="1" applyFill="1" applyBorder="1" applyAlignment="1">
      <alignment horizontal="center" vertical="center" wrapText="1"/>
    </xf>
    <xf numFmtId="0" fontId="76" fillId="4" borderId="29" xfId="3" applyFont="1" applyFill="1" applyBorder="1" applyAlignment="1">
      <alignment horizontal="center" vertical="center" wrapText="1"/>
    </xf>
    <xf numFmtId="0" fontId="66" fillId="0" borderId="7" xfId="3" quotePrefix="1" applyFont="1" applyBorder="1" applyAlignment="1">
      <alignment horizontal="center" vertical="center" wrapText="1"/>
    </xf>
    <xf numFmtId="0" fontId="66" fillId="0" borderId="25" xfId="3" quotePrefix="1" applyFont="1" applyBorder="1" applyAlignment="1">
      <alignment horizontal="center" vertical="center" wrapText="1"/>
    </xf>
    <xf numFmtId="0" fontId="66" fillId="0" borderId="9" xfId="3" quotePrefix="1" applyFont="1" applyBorder="1" applyAlignment="1">
      <alignment horizontal="center" vertical="center" wrapText="1"/>
    </xf>
    <xf numFmtId="0" fontId="36" fillId="0" borderId="76" xfId="3" applyFont="1" applyBorder="1" applyAlignment="1">
      <alignment horizontal="center" vertical="center" wrapText="1"/>
    </xf>
    <xf numFmtId="0" fontId="36" fillId="0" borderId="6" xfId="3" applyFont="1" applyBorder="1" applyAlignment="1">
      <alignment horizontal="center" vertical="center" wrapText="1"/>
    </xf>
    <xf numFmtId="0" fontId="36" fillId="0" borderId="5" xfId="3" applyFont="1" applyFill="1" applyBorder="1" applyAlignment="1">
      <alignment horizontal="center" vertical="center" wrapText="1"/>
    </xf>
    <xf numFmtId="0" fontId="36" fillId="0" borderId="15" xfId="3" applyFont="1" applyFill="1" applyBorder="1" applyAlignment="1">
      <alignment horizontal="center" vertical="center" wrapText="1"/>
    </xf>
    <xf numFmtId="0" fontId="36" fillId="0" borderId="6" xfId="3" applyFont="1" applyFill="1" applyBorder="1" applyAlignment="1">
      <alignment horizontal="center" vertical="center" wrapText="1"/>
    </xf>
    <xf numFmtId="0" fontId="35" fillId="0" borderId="2" xfId="3" applyFont="1" applyBorder="1" applyAlignment="1">
      <alignment horizontal="center" vertical="center" wrapText="1"/>
    </xf>
    <xf numFmtId="10" fontId="76" fillId="2" borderId="2" xfId="2" applyNumberFormat="1" applyFont="1" applyFill="1" applyBorder="1" applyAlignment="1">
      <alignment horizontal="center" vertical="center" wrapText="1"/>
    </xf>
    <xf numFmtId="0" fontId="76" fillId="4" borderId="14" xfId="3" applyFont="1" applyFill="1" applyBorder="1" applyAlignment="1">
      <alignment horizontal="center" vertical="center" wrapText="1"/>
    </xf>
    <xf numFmtId="0" fontId="76" fillId="4" borderId="1" xfId="3" applyFont="1" applyFill="1" applyBorder="1" applyAlignment="1">
      <alignment horizontal="center" vertical="center" wrapText="1"/>
    </xf>
    <xf numFmtId="0" fontId="99" fillId="0" borderId="33" xfId="0" applyFont="1" applyBorder="1" applyAlignment="1">
      <alignment horizontal="center" vertical="center"/>
    </xf>
    <xf numFmtId="0" fontId="68" fillId="0" borderId="49" xfId="0" applyFont="1" applyBorder="1" applyAlignment="1">
      <alignment horizontal="left" vertical="center"/>
    </xf>
    <xf numFmtId="0" fontId="68" fillId="0" borderId="50" xfId="0" applyFont="1" applyBorder="1" applyAlignment="1">
      <alignment horizontal="left" vertical="center"/>
    </xf>
    <xf numFmtId="0" fontId="76" fillId="4" borderId="68" xfId="3" applyFont="1" applyFill="1" applyBorder="1" applyAlignment="1">
      <alignment horizontal="center" vertical="center" wrapText="1"/>
    </xf>
    <xf numFmtId="0" fontId="33" fillId="18" borderId="58" xfId="3" applyFont="1" applyFill="1" applyBorder="1" applyAlignment="1">
      <alignment horizontal="center" vertical="center" wrapText="1"/>
    </xf>
    <xf numFmtId="0" fontId="33" fillId="18" borderId="59" xfId="3" applyFont="1" applyFill="1" applyBorder="1" applyAlignment="1">
      <alignment horizontal="center" vertical="center" wrapText="1"/>
    </xf>
    <xf numFmtId="0" fontId="33" fillId="18" borderId="70" xfId="3" applyFont="1" applyFill="1" applyBorder="1" applyAlignment="1">
      <alignment horizontal="center" vertical="center" wrapText="1"/>
    </xf>
    <xf numFmtId="0" fontId="36" fillId="0" borderId="15" xfId="3" applyFont="1" applyBorder="1" applyAlignment="1">
      <alignment horizontal="center" vertical="center" wrapText="1"/>
    </xf>
    <xf numFmtId="0" fontId="35" fillId="0" borderId="48" xfId="3" applyFont="1" applyBorder="1" applyAlignment="1">
      <alignment horizontal="center" vertical="center" wrapText="1"/>
    </xf>
    <xf numFmtId="0" fontId="35" fillId="0" borderId="15" xfId="3" applyFont="1" applyBorder="1" applyAlignment="1">
      <alignment horizontal="center" vertical="center" wrapText="1"/>
    </xf>
    <xf numFmtId="176" fontId="76" fillId="2" borderId="2" xfId="3" applyNumberFormat="1" applyFont="1" applyFill="1" applyBorder="1" applyAlignment="1">
      <alignment horizontal="center" vertical="center" wrapText="1"/>
    </xf>
    <xf numFmtId="0" fontId="38" fillId="13" borderId="58" xfId="3" applyFont="1" applyFill="1" applyBorder="1" applyAlignment="1">
      <alignment horizontal="center" vertical="center" wrapText="1"/>
    </xf>
    <xf numFmtId="0" fontId="38" fillId="13" borderId="59" xfId="3" applyFont="1" applyFill="1" applyBorder="1" applyAlignment="1">
      <alignment horizontal="center" vertical="center" wrapText="1"/>
    </xf>
    <xf numFmtId="0" fontId="38" fillId="13" borderId="70" xfId="3" applyFont="1" applyFill="1" applyBorder="1" applyAlignment="1">
      <alignment horizontal="center" vertical="center" wrapText="1"/>
    </xf>
    <xf numFmtId="0" fontId="38" fillId="13" borderId="71" xfId="3" applyFont="1" applyFill="1" applyBorder="1" applyAlignment="1">
      <alignment horizontal="center" vertical="center" wrapText="1"/>
    </xf>
    <xf numFmtId="0" fontId="76" fillId="0" borderId="49" xfId="3" applyFont="1" applyBorder="1" applyAlignment="1">
      <alignment horizontal="center" vertical="center" wrapText="1"/>
    </xf>
    <xf numFmtId="0" fontId="76" fillId="0" borderId="50" xfId="3" applyFont="1" applyBorder="1" applyAlignment="1">
      <alignment horizontal="center" vertical="center" wrapText="1"/>
    </xf>
    <xf numFmtId="0" fontId="35" fillId="0" borderId="32" xfId="3" applyFont="1" applyBorder="1" applyAlignment="1">
      <alignment horizontal="center" vertical="center" wrapText="1"/>
    </xf>
    <xf numFmtId="0" fontId="38" fillId="0" borderId="53" xfId="3" applyFont="1" applyBorder="1" applyAlignment="1">
      <alignment horizontal="center" vertical="center" wrapText="1"/>
    </xf>
    <xf numFmtId="0" fontId="38" fillId="0" borderId="33" xfId="3" applyFont="1" applyBorder="1" applyAlignment="1">
      <alignment horizontal="center" vertical="center" wrapText="1"/>
    </xf>
    <xf numFmtId="0" fontId="38" fillId="0" borderId="63" xfId="3" applyFont="1" applyBorder="1" applyAlignment="1">
      <alignment horizontal="center" vertical="center" wrapText="1"/>
    </xf>
    <xf numFmtId="0" fontId="38" fillId="0" borderId="25" xfId="3" applyFont="1" applyBorder="1" applyAlignment="1">
      <alignment horizontal="center" vertical="center" wrapText="1"/>
    </xf>
    <xf numFmtId="0" fontId="38" fillId="0" borderId="0" xfId="3" applyFont="1" applyBorder="1" applyAlignment="1">
      <alignment horizontal="center" vertical="center" wrapText="1"/>
    </xf>
    <xf numFmtId="0" fontId="38" fillId="0" borderId="26" xfId="3" applyFont="1" applyBorder="1" applyAlignment="1">
      <alignment horizontal="center" vertical="center" wrapText="1"/>
    </xf>
    <xf numFmtId="0" fontId="38" fillId="0" borderId="9" xfId="3" applyFont="1" applyBorder="1" applyAlignment="1">
      <alignment horizontal="center" vertical="center" wrapText="1"/>
    </xf>
    <xf numFmtId="0" fontId="38" fillId="0" borderId="13" xfId="3" applyFont="1" applyBorder="1" applyAlignment="1">
      <alignment horizontal="center" vertical="center" wrapText="1"/>
    </xf>
    <xf numFmtId="0" fontId="38" fillId="0" borderId="10" xfId="3" applyFont="1" applyBorder="1" applyAlignment="1">
      <alignment horizontal="center" vertical="center" wrapText="1"/>
    </xf>
    <xf numFmtId="0" fontId="76" fillId="0" borderId="64" xfId="3" applyFont="1" applyBorder="1" applyAlignment="1">
      <alignment horizontal="center" vertical="center" wrapText="1"/>
    </xf>
    <xf numFmtId="0" fontId="76" fillId="0" borderId="3" xfId="3" applyFont="1" applyBorder="1" applyAlignment="1">
      <alignment horizontal="center" vertical="center" wrapText="1"/>
    </xf>
    <xf numFmtId="0" fontId="76" fillId="0" borderId="4" xfId="3" applyFont="1" applyBorder="1" applyAlignment="1">
      <alignment horizontal="center" vertical="center" wrapText="1"/>
    </xf>
    <xf numFmtId="201" fontId="38" fillId="3" borderId="64" xfId="3" applyNumberFormat="1" applyFont="1" applyFill="1" applyBorder="1" applyAlignment="1">
      <alignment horizontal="center" vertical="center" wrapText="1"/>
    </xf>
    <xf numFmtId="201" fontId="38" fillId="2" borderId="64" xfId="3" applyNumberFormat="1" applyFont="1" applyFill="1" applyBorder="1" applyAlignment="1">
      <alignment horizontal="center" vertical="center" wrapText="1"/>
    </xf>
    <xf numFmtId="188" fontId="38" fillId="2" borderId="53" xfId="3" applyNumberFormat="1" applyFont="1" applyFill="1" applyBorder="1" applyAlignment="1">
      <alignment horizontal="center" vertical="center" wrapText="1"/>
    </xf>
    <xf numFmtId="188" fontId="38" fillId="2" borderId="63" xfId="3" applyNumberFormat="1" applyFont="1" applyFill="1" applyBorder="1" applyAlignment="1">
      <alignment horizontal="center" vertical="center" wrapText="1"/>
    </xf>
    <xf numFmtId="188" fontId="38" fillId="2" borderId="25" xfId="3" applyNumberFormat="1" applyFont="1" applyFill="1" applyBorder="1" applyAlignment="1">
      <alignment horizontal="center" vertical="center" wrapText="1"/>
    </xf>
    <xf numFmtId="188" fontId="38" fillId="2" borderId="26" xfId="3" applyNumberFormat="1" applyFont="1" applyFill="1" applyBorder="1" applyAlignment="1">
      <alignment horizontal="center" vertical="center" wrapText="1"/>
    </xf>
    <xf numFmtId="188" fontId="38" fillId="2" borderId="9" xfId="3" applyNumberFormat="1" applyFont="1" applyFill="1" applyBorder="1" applyAlignment="1">
      <alignment horizontal="center" vertical="center" wrapText="1"/>
    </xf>
    <xf numFmtId="188" fontId="38" fillId="2" borderId="10" xfId="3" applyNumberFormat="1" applyFont="1" applyFill="1" applyBorder="1" applyAlignment="1">
      <alignment horizontal="center" vertical="center" wrapText="1"/>
    </xf>
    <xf numFmtId="188" fontId="38" fillId="3" borderId="2" xfId="3" applyNumberFormat="1" applyFont="1" applyFill="1" applyBorder="1" applyAlignment="1">
      <alignment horizontal="center" vertical="center" wrapText="1"/>
    </xf>
    <xf numFmtId="0" fontId="38" fillId="0" borderId="5" xfId="3" applyFont="1" applyBorder="1" applyAlignment="1">
      <alignment horizontal="center" vertical="center" wrapText="1"/>
    </xf>
    <xf numFmtId="0" fontId="38" fillId="0" borderId="15" xfId="3" applyFont="1" applyBorder="1" applyAlignment="1">
      <alignment horizontal="center" vertical="center" wrapText="1"/>
    </xf>
    <xf numFmtId="0" fontId="38" fillId="0" borderId="6" xfId="3" applyFont="1" applyBorder="1" applyAlignment="1">
      <alignment horizontal="center" vertical="center" wrapText="1"/>
    </xf>
    <xf numFmtId="0" fontId="38" fillId="0" borderId="16" xfId="3" applyFont="1" applyBorder="1" applyAlignment="1">
      <alignment horizontal="center" vertical="center" wrapText="1"/>
    </xf>
    <xf numFmtId="185" fontId="38" fillId="2" borderId="5" xfId="3" applyNumberFormat="1" applyFont="1" applyFill="1" applyBorder="1" applyAlignment="1">
      <alignment horizontal="center" vertical="center" wrapText="1"/>
    </xf>
    <xf numFmtId="185" fontId="38" fillId="2" borderId="6" xfId="3" applyNumberFormat="1" applyFont="1" applyFill="1" applyBorder="1" applyAlignment="1">
      <alignment horizontal="center" vertical="center" wrapText="1"/>
    </xf>
    <xf numFmtId="0" fontId="38" fillId="15" borderId="2" xfId="3" applyFont="1" applyFill="1" applyBorder="1" applyAlignment="1">
      <alignment horizontal="center" vertical="center" wrapText="1"/>
    </xf>
    <xf numFmtId="0" fontId="38" fillId="2" borderId="5" xfId="3" applyFont="1" applyFill="1" applyBorder="1" applyAlignment="1">
      <alignment horizontal="center" vertical="center" wrapText="1"/>
    </xf>
    <xf numFmtId="0" fontId="38" fillId="2" borderId="6" xfId="3" applyFont="1" applyFill="1" applyBorder="1" applyAlignment="1">
      <alignment horizontal="center" vertical="center" wrapText="1"/>
    </xf>
    <xf numFmtId="0" fontId="67" fillId="0" borderId="1" xfId="3" quotePrefix="1" applyFont="1" applyBorder="1" applyAlignment="1">
      <alignment horizontal="left" vertical="center" wrapText="1"/>
    </xf>
    <xf numFmtId="0" fontId="67" fillId="0" borderId="3" xfId="3" quotePrefix="1" applyFont="1" applyBorder="1" applyAlignment="1">
      <alignment horizontal="left" vertical="center" wrapText="1"/>
    </xf>
    <xf numFmtId="0" fontId="67" fillId="0" borderId="4" xfId="3" quotePrefix="1" applyFont="1" applyBorder="1" applyAlignment="1">
      <alignment horizontal="left" vertical="center" wrapText="1"/>
    </xf>
    <xf numFmtId="0" fontId="38" fillId="0" borderId="2" xfId="3" applyFont="1" applyBorder="1" applyAlignment="1">
      <alignment horizontal="center" vertical="center" wrapText="1"/>
    </xf>
    <xf numFmtId="185" fontId="38" fillId="2" borderId="2" xfId="3" applyNumberFormat="1" applyFont="1" applyFill="1" applyBorder="1" applyAlignment="1">
      <alignment horizontal="center" vertical="center" wrapText="1"/>
    </xf>
    <xf numFmtId="0" fontId="38" fillId="6" borderId="2" xfId="3" applyFont="1" applyFill="1" applyBorder="1" applyAlignment="1">
      <alignment horizontal="center" vertical="center" wrapText="1"/>
    </xf>
    <xf numFmtId="0" fontId="67" fillId="0" borderId="83" xfId="3" quotePrefix="1" applyFont="1" applyBorder="1" applyAlignment="1">
      <alignment horizontal="left" vertical="top" wrapText="1"/>
    </xf>
    <xf numFmtId="0" fontId="67" fillId="0" borderId="43" xfId="3" quotePrefix="1" applyFont="1" applyBorder="1" applyAlignment="1">
      <alignment horizontal="left" vertical="top" wrapText="1"/>
    </xf>
    <xf numFmtId="0" fontId="67" fillId="0" borderId="45" xfId="3" quotePrefix="1" applyFont="1" applyBorder="1" applyAlignment="1">
      <alignment horizontal="left" vertical="top" wrapText="1"/>
    </xf>
    <xf numFmtId="188" fontId="38" fillId="3" borderId="29" xfId="3" applyNumberFormat="1" applyFont="1" applyFill="1" applyBorder="1" applyAlignment="1">
      <alignment horizontal="center" vertical="center" wrapText="1"/>
    </xf>
    <xf numFmtId="0" fontId="38" fillId="2" borderId="2" xfId="3" applyFont="1" applyFill="1" applyBorder="1" applyAlignment="1">
      <alignment horizontal="center" vertical="center" wrapText="1"/>
    </xf>
    <xf numFmtId="186" fontId="38" fillId="2" borderId="2" xfId="3" applyNumberFormat="1" applyFont="1" applyFill="1" applyBorder="1" applyAlignment="1">
      <alignment horizontal="center" vertical="center" wrapText="1"/>
    </xf>
    <xf numFmtId="0" fontId="38" fillId="0" borderId="37" xfId="3" applyFont="1" applyBorder="1" applyAlignment="1">
      <alignment horizontal="center" vertical="center" wrapText="1"/>
    </xf>
    <xf numFmtId="0" fontId="38" fillId="0" borderId="38" xfId="3" applyFont="1" applyBorder="1" applyAlignment="1">
      <alignment horizontal="center" vertical="center" wrapText="1"/>
    </xf>
    <xf numFmtId="0" fontId="38" fillId="0" borderId="74" xfId="3" applyFont="1" applyBorder="1" applyAlignment="1">
      <alignment horizontal="center" vertical="center" wrapText="1"/>
    </xf>
    <xf numFmtId="0" fontId="38" fillId="0" borderId="68" xfId="3" applyFont="1" applyBorder="1" applyAlignment="1">
      <alignment horizontal="center" vertical="center" wrapText="1"/>
    </xf>
    <xf numFmtId="0" fontId="38" fillId="0" borderId="51" xfId="3" applyFont="1" applyBorder="1" applyAlignment="1">
      <alignment horizontal="center" vertical="center" wrapText="1"/>
    </xf>
    <xf numFmtId="0" fontId="38" fillId="0" borderId="8" xfId="3" applyFont="1" applyBorder="1" applyAlignment="1">
      <alignment horizontal="center" vertical="center" wrapText="1"/>
    </xf>
    <xf numFmtId="0" fontId="38" fillId="0" borderId="11" xfId="3" applyFont="1" applyBorder="1" applyAlignment="1">
      <alignment horizontal="center" vertical="center" wrapText="1"/>
    </xf>
    <xf numFmtId="188" fontId="38" fillId="3" borderId="38" xfId="3" applyNumberFormat="1" applyFont="1" applyFill="1" applyBorder="1" applyAlignment="1">
      <alignment horizontal="center" vertical="center" wrapText="1"/>
    </xf>
    <xf numFmtId="0" fontId="38" fillId="0" borderId="20" xfId="3" applyFont="1" applyBorder="1" applyAlignment="1">
      <alignment horizontal="center" vertical="center" wrapText="1"/>
    </xf>
    <xf numFmtId="0" fontId="38" fillId="8" borderId="23" xfId="3" applyFont="1" applyFill="1" applyBorder="1" applyAlignment="1">
      <alignment horizontal="center" vertical="center" wrapText="1"/>
    </xf>
    <xf numFmtId="0" fontId="38" fillId="0" borderId="1" xfId="3" applyFont="1" applyBorder="1" applyAlignment="1">
      <alignment horizontal="center" vertical="center"/>
    </xf>
    <xf numFmtId="0" fontId="38" fillId="0" borderId="3" xfId="3" applyFont="1" applyBorder="1" applyAlignment="1">
      <alignment horizontal="center" vertical="center"/>
    </xf>
    <xf numFmtId="0" fontId="38" fillId="2" borderId="1" xfId="3" applyFont="1" applyFill="1" applyBorder="1" applyAlignment="1">
      <alignment horizontal="center" vertical="center" wrapText="1"/>
    </xf>
    <xf numFmtId="0" fontId="38" fillId="2" borderId="3" xfId="3" applyFont="1" applyFill="1" applyBorder="1" applyAlignment="1">
      <alignment horizontal="center" vertical="center" wrapText="1"/>
    </xf>
    <xf numFmtId="0" fontId="35" fillId="0" borderId="54" xfId="3" applyFont="1" applyBorder="1" applyAlignment="1">
      <alignment horizontal="center" vertical="center" wrapText="1"/>
    </xf>
    <xf numFmtId="0" fontId="35" fillId="0" borderId="55" xfId="3" applyFont="1" applyBorder="1" applyAlignment="1">
      <alignment horizontal="center" vertical="center" wrapText="1"/>
    </xf>
    <xf numFmtId="0" fontId="35" fillId="0" borderId="57" xfId="3" applyFont="1" applyBorder="1" applyAlignment="1">
      <alignment horizontal="center" vertical="center" wrapText="1"/>
    </xf>
    <xf numFmtId="201" fontId="35" fillId="2" borderId="56" xfId="3" applyNumberFormat="1" applyFont="1" applyFill="1" applyBorder="1" applyAlignment="1">
      <alignment horizontal="center" vertical="center" wrapText="1"/>
    </xf>
    <xf numFmtId="201" fontId="35" fillId="2" borderId="57" xfId="3" applyNumberFormat="1" applyFont="1" applyFill="1" applyBorder="1" applyAlignment="1">
      <alignment horizontal="center" vertical="center" wrapText="1"/>
    </xf>
    <xf numFmtId="0" fontId="76" fillId="4" borderId="74" xfId="3" applyFont="1" applyFill="1" applyBorder="1" applyAlignment="1">
      <alignment horizontal="center" vertical="center" wrapText="1"/>
    </xf>
    <xf numFmtId="0" fontId="76" fillId="4" borderId="28" xfId="3" applyFont="1" applyFill="1" applyBorder="1" applyAlignment="1">
      <alignment horizontal="center" vertical="center" wrapText="1"/>
    </xf>
    <xf numFmtId="0" fontId="85" fillId="0" borderId="0" xfId="0" applyFont="1" applyAlignment="1">
      <alignment horizontal="center" vertical="center"/>
    </xf>
    <xf numFmtId="0" fontId="67" fillId="0" borderId="24" xfId="3" applyFont="1" applyBorder="1" applyAlignment="1">
      <alignment horizontal="left" vertical="center" wrapText="1"/>
    </xf>
    <xf numFmtId="0" fontId="67" fillId="0" borderId="41" xfId="3" applyFont="1" applyBorder="1" applyAlignment="1">
      <alignment horizontal="left" vertical="center" wrapText="1"/>
    </xf>
    <xf numFmtId="184" fontId="76" fillId="2" borderId="0" xfId="3" applyNumberFormat="1" applyFont="1" applyFill="1" applyBorder="1" applyAlignment="1">
      <alignment horizontal="center" vertical="center" wrapText="1"/>
    </xf>
    <xf numFmtId="184" fontId="76" fillId="2" borderId="16" xfId="3" applyNumberFormat="1" applyFont="1" applyFill="1" applyBorder="1" applyAlignment="1">
      <alignment horizontal="center" vertical="center" wrapText="1"/>
    </xf>
    <xf numFmtId="0" fontId="38" fillId="0" borderId="17" xfId="3" applyFont="1" applyBorder="1" applyAlignment="1">
      <alignment horizontal="center" vertical="center" wrapText="1"/>
    </xf>
    <xf numFmtId="0" fontId="38" fillId="0" borderId="18" xfId="3" applyFont="1" applyBorder="1" applyAlignment="1">
      <alignment horizontal="center" vertical="center" wrapText="1"/>
    </xf>
    <xf numFmtId="185" fontId="38" fillId="2" borderId="17" xfId="3" applyNumberFormat="1" applyFont="1" applyFill="1" applyBorder="1" applyAlignment="1">
      <alignment horizontal="center" vertical="center" wrapText="1"/>
    </xf>
    <xf numFmtId="185" fontId="38" fillId="2" borderId="18" xfId="3" applyNumberFormat="1" applyFont="1" applyFill="1" applyBorder="1" applyAlignment="1">
      <alignment horizontal="center" vertical="center" wrapText="1"/>
    </xf>
    <xf numFmtId="0" fontId="38" fillId="0" borderId="12" xfId="3" applyFont="1" applyBorder="1" applyAlignment="1">
      <alignment horizontal="center" vertical="center" wrapText="1"/>
    </xf>
    <xf numFmtId="0" fontId="38" fillId="8" borderId="2" xfId="3" applyFont="1" applyFill="1" applyBorder="1" applyAlignment="1">
      <alignment horizontal="center" vertical="center" wrapText="1"/>
    </xf>
    <xf numFmtId="0" fontId="38" fillId="0" borderId="79" xfId="3" applyFont="1" applyBorder="1" applyAlignment="1">
      <alignment horizontal="center" vertical="center" wrapText="1"/>
    </xf>
    <xf numFmtId="0" fontId="38" fillId="0" borderId="80" xfId="3" applyFont="1" applyBorder="1" applyAlignment="1">
      <alignment horizontal="center" vertical="center" wrapText="1"/>
    </xf>
    <xf numFmtId="0" fontId="38" fillId="2" borderId="79" xfId="3" applyFont="1" applyFill="1" applyBorder="1" applyAlignment="1">
      <alignment horizontal="center" vertical="center" wrapText="1"/>
    </xf>
    <xf numFmtId="0" fontId="38" fillId="2" borderId="80" xfId="3" applyFont="1" applyFill="1" applyBorder="1" applyAlignment="1">
      <alignment horizontal="center" vertical="center" wrapText="1"/>
    </xf>
    <xf numFmtId="0" fontId="38" fillId="3" borderId="2" xfId="3" applyFont="1" applyFill="1" applyBorder="1" applyAlignment="1">
      <alignment horizontal="center" vertical="center" wrapText="1"/>
    </xf>
    <xf numFmtId="184" fontId="76" fillId="0" borderId="0" xfId="3" applyNumberFormat="1" applyFont="1" applyBorder="1" applyAlignment="1">
      <alignment horizontal="center" vertical="center" wrapText="1"/>
    </xf>
    <xf numFmtId="0" fontId="154" fillId="0" borderId="2" xfId="3" applyFont="1" applyBorder="1" applyAlignment="1">
      <alignment horizontal="center" vertical="center" wrapText="1"/>
    </xf>
    <xf numFmtId="182" fontId="38" fillId="0" borderId="1" xfId="3" applyNumberFormat="1" applyFont="1" applyBorder="1" applyAlignment="1">
      <alignment horizontal="center" vertical="center" wrapText="1"/>
    </xf>
    <xf numFmtId="182" fontId="38" fillId="0" borderId="3" xfId="3" applyNumberFormat="1" applyFont="1" applyBorder="1" applyAlignment="1">
      <alignment horizontal="center" vertical="center" wrapText="1"/>
    </xf>
    <xf numFmtId="182" fontId="38" fillId="0" borderId="4" xfId="3" applyNumberFormat="1" applyFont="1" applyBorder="1" applyAlignment="1">
      <alignment horizontal="center" vertical="center" wrapText="1"/>
    </xf>
    <xf numFmtId="201" fontId="38" fillId="3" borderId="7" xfId="3" applyNumberFormat="1" applyFont="1" applyFill="1" applyBorder="1" applyAlignment="1">
      <alignment horizontal="center" vertical="center" wrapText="1"/>
    </xf>
    <xf numFmtId="201" fontId="38" fillId="3" borderId="25" xfId="3" applyNumberFormat="1" applyFont="1" applyFill="1" applyBorder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0" fontId="76" fillId="2" borderId="58" xfId="3" applyFont="1" applyFill="1" applyBorder="1" applyAlignment="1">
      <alignment horizontal="center" vertical="center" wrapText="1"/>
    </xf>
    <xf numFmtId="0" fontId="76" fillId="2" borderId="59" xfId="3" applyFont="1" applyFill="1" applyBorder="1" applyAlignment="1">
      <alignment horizontal="center" vertical="center" wrapText="1"/>
    </xf>
    <xf numFmtId="0" fontId="76" fillId="2" borderId="70" xfId="3" applyFont="1" applyFill="1" applyBorder="1" applyAlignment="1">
      <alignment horizontal="center" vertical="center" wrapText="1"/>
    </xf>
    <xf numFmtId="0" fontId="76" fillId="0" borderId="69" xfId="3" applyFont="1" applyBorder="1" applyAlignment="1">
      <alignment horizontal="center" vertical="center" wrapText="1"/>
    </xf>
    <xf numFmtId="188" fontId="38" fillId="3" borderId="5" xfId="3" applyNumberFormat="1" applyFont="1" applyFill="1" applyBorder="1" applyAlignment="1">
      <alignment horizontal="center" vertical="center" wrapText="1"/>
    </xf>
    <xf numFmtId="188" fontId="38" fillId="3" borderId="6" xfId="3" applyNumberFormat="1" applyFont="1" applyFill="1" applyBorder="1" applyAlignment="1">
      <alignment horizontal="center" vertical="center" wrapText="1"/>
    </xf>
    <xf numFmtId="0" fontId="38" fillId="0" borderId="5" xfId="3" applyFont="1" applyBorder="1" applyAlignment="1">
      <alignment horizontal="center" vertical="center" shrinkToFit="1"/>
    </xf>
    <xf numFmtId="0" fontId="38" fillId="0" borderId="15" xfId="3" applyFont="1" applyBorder="1" applyAlignment="1">
      <alignment horizontal="center" vertical="center" shrinkToFit="1"/>
    </xf>
    <xf numFmtId="0" fontId="38" fillId="0" borderId="6" xfId="3" applyFont="1" applyBorder="1" applyAlignment="1">
      <alignment horizontal="center" vertical="center" shrinkToFit="1"/>
    </xf>
    <xf numFmtId="186" fontId="38" fillId="2" borderId="5" xfId="3" applyNumberFormat="1" applyFont="1" applyFill="1" applyBorder="1" applyAlignment="1">
      <alignment horizontal="center" vertical="center" wrapText="1"/>
    </xf>
    <xf numFmtId="186" fontId="38" fillId="2" borderId="6" xfId="3" applyNumberFormat="1" applyFont="1" applyFill="1" applyBorder="1" applyAlignment="1">
      <alignment horizontal="center" vertical="center" wrapText="1"/>
    </xf>
    <xf numFmtId="14" fontId="34" fillId="2" borderId="2" xfId="3" applyNumberFormat="1" applyFont="1" applyFill="1" applyBorder="1" applyAlignment="1">
      <alignment horizontal="center" vertical="center"/>
    </xf>
    <xf numFmtId="0" fontId="76" fillId="9" borderId="65" xfId="3" applyFont="1" applyFill="1" applyBorder="1" applyAlignment="1">
      <alignment horizontal="center" vertical="center" wrapText="1"/>
    </xf>
    <xf numFmtId="0" fontId="76" fillId="9" borderId="66" xfId="3" applyFont="1" applyFill="1" applyBorder="1" applyAlignment="1">
      <alignment horizontal="center" vertical="center" wrapText="1"/>
    </xf>
    <xf numFmtId="0" fontId="106" fillId="0" borderId="0" xfId="7" applyFont="1" applyAlignment="1">
      <alignment horizontal="center" vertical="center"/>
    </xf>
    <xf numFmtId="0" fontId="121" fillId="0" borderId="14" xfId="7" applyFont="1" applyBorder="1" applyAlignment="1">
      <alignment horizontal="center" vertical="center"/>
    </xf>
    <xf numFmtId="0" fontId="121" fillId="0" borderId="72" xfId="7" applyFont="1" applyBorder="1" applyAlignment="1">
      <alignment horizontal="center" vertical="center"/>
    </xf>
    <xf numFmtId="0" fontId="121" fillId="0" borderId="73" xfId="7" applyFont="1" applyBorder="1" applyAlignment="1">
      <alignment horizontal="center" vertical="center"/>
    </xf>
    <xf numFmtId="0" fontId="119" fillId="0" borderId="0" xfId="7" applyFont="1" applyAlignment="1">
      <alignment horizontal="left" vertical="center" wrapText="1"/>
    </xf>
    <xf numFmtId="0" fontId="120" fillId="2" borderId="0" xfId="7" applyFont="1" applyFill="1" applyAlignment="1">
      <alignment horizontal="center" vertical="center" shrinkToFit="1"/>
    </xf>
    <xf numFmtId="0" fontId="121" fillId="0" borderId="54" xfId="7" applyFont="1" applyBorder="1" applyAlignment="1">
      <alignment horizontal="center" vertical="center"/>
    </xf>
    <xf numFmtId="0" fontId="121" fillId="0" borderId="57" xfId="7" applyFont="1" applyBorder="1" applyAlignment="1">
      <alignment horizontal="center" vertical="center"/>
    </xf>
    <xf numFmtId="0" fontId="102" fillId="3" borderId="1" xfId="1" applyFont="1" applyFill="1" applyBorder="1" applyAlignment="1">
      <alignment horizontal="center" vertical="center" shrinkToFit="1"/>
    </xf>
    <xf numFmtId="0" fontId="102" fillId="3" borderId="3" xfId="1" applyFont="1" applyFill="1" applyBorder="1" applyAlignment="1">
      <alignment horizontal="center" vertical="center" shrinkToFit="1"/>
    </xf>
    <xf numFmtId="0" fontId="93" fillId="2" borderId="1" xfId="7" applyFont="1" applyFill="1" applyBorder="1" applyAlignment="1">
      <alignment horizontal="center" vertical="center"/>
    </xf>
    <xf numFmtId="0" fontId="93" fillId="2" borderId="3" xfId="7" applyFont="1" applyFill="1" applyBorder="1" applyAlignment="1">
      <alignment horizontal="center" vertical="center"/>
    </xf>
    <xf numFmtId="0" fontId="121" fillId="0" borderId="1" xfId="7" applyFont="1" applyBorder="1" applyAlignment="1">
      <alignment horizontal="center" vertical="center"/>
    </xf>
    <xf numFmtId="0" fontId="121" fillId="0" borderId="3" xfId="7" applyFont="1" applyBorder="1" applyAlignment="1">
      <alignment horizontal="center" vertical="center"/>
    </xf>
    <xf numFmtId="0" fontId="121" fillId="0" borderId="14" xfId="7" applyFont="1" applyBorder="1" applyAlignment="1">
      <alignment horizontal="center" vertical="center" wrapText="1"/>
    </xf>
    <xf numFmtId="0" fontId="121" fillId="0" borderId="72" xfId="7" applyFont="1" applyBorder="1" applyAlignment="1">
      <alignment horizontal="center" vertical="center" wrapText="1"/>
    </xf>
    <xf numFmtId="0" fontId="105" fillId="0" borderId="58" xfId="0" applyFont="1" applyBorder="1" applyAlignment="1">
      <alignment horizontal="left" vertical="center" wrapText="1"/>
    </xf>
    <xf numFmtId="0" fontId="105" fillId="0" borderId="59" xfId="0" applyFont="1" applyBorder="1" applyAlignment="1">
      <alignment horizontal="left" vertical="center"/>
    </xf>
    <xf numFmtId="0" fontId="105" fillId="0" borderId="60" xfId="0" applyFont="1" applyBorder="1" applyAlignment="1">
      <alignment horizontal="left" vertical="center"/>
    </xf>
    <xf numFmtId="0" fontId="126" fillId="2" borderId="13" xfId="0" applyFont="1" applyFill="1" applyBorder="1" applyAlignment="1">
      <alignment horizontal="center" vertical="center" shrinkToFit="1"/>
    </xf>
    <xf numFmtId="0" fontId="125" fillId="11" borderId="5" xfId="0" applyFont="1" applyFill="1" applyBorder="1" applyAlignment="1">
      <alignment horizontal="center" vertical="center" wrapText="1"/>
    </xf>
    <xf numFmtId="0" fontId="125" fillId="11" borderId="15" xfId="0" applyFont="1" applyFill="1" applyBorder="1" applyAlignment="1">
      <alignment horizontal="center" vertical="center" wrapText="1"/>
    </xf>
    <xf numFmtId="0" fontId="125" fillId="11" borderId="6" xfId="0" applyFont="1" applyFill="1" applyBorder="1" applyAlignment="1">
      <alignment horizontal="center" vertical="center" wrapText="1"/>
    </xf>
    <xf numFmtId="0" fontId="126" fillId="0" borderId="5" xfId="4" applyNumberFormat="1" applyFont="1" applyFill="1" applyBorder="1" applyAlignment="1">
      <alignment horizontal="center" vertical="center"/>
    </xf>
    <xf numFmtId="0" fontId="126" fillId="0" borderId="15" xfId="4" applyNumberFormat="1" applyFont="1" applyFill="1" applyBorder="1" applyAlignment="1">
      <alignment horizontal="center" vertical="center"/>
    </xf>
    <xf numFmtId="0" fontId="126" fillId="0" borderId="6" xfId="4" applyNumberFormat="1" applyFont="1" applyFill="1" applyBorder="1" applyAlignment="1">
      <alignment horizontal="center" vertical="center"/>
    </xf>
    <xf numFmtId="0" fontId="129" fillId="2" borderId="5" xfId="4" applyNumberFormat="1" applyFont="1" applyFill="1" applyBorder="1" applyAlignment="1">
      <alignment horizontal="center" vertical="center" shrinkToFit="1"/>
    </xf>
    <xf numFmtId="0" fontId="129" fillId="2" borderId="15" xfId="4" applyNumberFormat="1" applyFont="1" applyFill="1" applyBorder="1" applyAlignment="1">
      <alignment horizontal="center" vertical="center" shrinkToFit="1"/>
    </xf>
    <xf numFmtId="0" fontId="129" fillId="2" borderId="6" xfId="4" applyNumberFormat="1" applyFont="1" applyFill="1" applyBorder="1" applyAlignment="1">
      <alignment horizontal="center" vertical="center" shrinkToFit="1"/>
    </xf>
    <xf numFmtId="0" fontId="102" fillId="3" borderId="1" xfId="5" applyFont="1" applyFill="1" applyBorder="1" applyAlignment="1">
      <alignment horizontal="center" vertical="center"/>
    </xf>
    <xf numFmtId="0" fontId="102" fillId="3" borderId="3" xfId="5" applyFont="1" applyFill="1" applyBorder="1" applyAlignment="1">
      <alignment horizontal="center" vertical="center"/>
    </xf>
    <xf numFmtId="0" fontId="102" fillId="3" borderId="4" xfId="5" applyFont="1" applyFill="1" applyBorder="1" applyAlignment="1">
      <alignment horizontal="center" vertical="center"/>
    </xf>
    <xf numFmtId="191" fontId="125" fillId="2" borderId="1" xfId="4" applyNumberFormat="1" applyFont="1" applyFill="1" applyBorder="1" applyAlignment="1">
      <alignment horizontal="center" vertical="center"/>
    </xf>
    <xf numFmtId="191" fontId="125" fillId="2" borderId="3" xfId="4" applyNumberFormat="1" applyFont="1" applyFill="1" applyBorder="1" applyAlignment="1">
      <alignment horizontal="center" vertical="center"/>
    </xf>
    <xf numFmtId="191" fontId="125" fillId="2" borderId="4" xfId="4" applyNumberFormat="1" applyFont="1" applyFill="1" applyBorder="1" applyAlignment="1">
      <alignment horizontal="center" vertical="center"/>
    </xf>
    <xf numFmtId="192" fontId="125" fillId="2" borderId="1" xfId="4" applyNumberFormat="1" applyFont="1" applyFill="1" applyBorder="1" applyAlignment="1">
      <alignment horizontal="center" vertical="center"/>
    </xf>
    <xf numFmtId="192" fontId="125" fillId="2" borderId="3" xfId="4" applyNumberFormat="1" applyFont="1" applyFill="1" applyBorder="1" applyAlignment="1">
      <alignment horizontal="center" vertical="center"/>
    </xf>
    <xf numFmtId="192" fontId="125" fillId="2" borderId="4" xfId="4" applyNumberFormat="1" applyFont="1" applyFill="1" applyBorder="1" applyAlignment="1">
      <alignment horizontal="center" vertical="center"/>
    </xf>
    <xf numFmtId="0" fontId="125" fillId="2" borderId="5" xfId="5" applyFont="1" applyFill="1" applyBorder="1" applyAlignment="1">
      <alignment horizontal="center" vertical="center" shrinkToFit="1"/>
    </xf>
    <xf numFmtId="0" fontId="125" fillId="2" borderId="15" xfId="5" applyFont="1" applyFill="1" applyBorder="1" applyAlignment="1">
      <alignment horizontal="center" vertical="center" shrinkToFit="1"/>
    </xf>
    <xf numFmtId="0" fontId="125" fillId="2" borderId="6" xfId="5" applyFont="1" applyFill="1" applyBorder="1" applyAlignment="1">
      <alignment horizontal="center" vertical="center" shrinkToFit="1"/>
    </xf>
    <xf numFmtId="192" fontId="102" fillId="2" borderId="1" xfId="4" applyNumberFormat="1" applyFont="1" applyFill="1" applyBorder="1" applyAlignment="1">
      <alignment horizontal="center" vertical="center"/>
    </xf>
    <xf numFmtId="192" fontId="102" fillId="2" borderId="4" xfId="4" applyNumberFormat="1" applyFont="1" applyFill="1" applyBorder="1" applyAlignment="1">
      <alignment horizontal="center" vertical="center"/>
    </xf>
    <xf numFmtId="0" fontId="102" fillId="3" borderId="7" xfId="5" applyFont="1" applyFill="1" applyBorder="1" applyAlignment="1">
      <alignment horizontal="center" vertical="center"/>
    </xf>
    <xf numFmtId="0" fontId="102" fillId="3" borderId="25" xfId="5" applyFont="1" applyFill="1" applyBorder="1" applyAlignment="1">
      <alignment horizontal="center" vertical="center"/>
    </xf>
    <xf numFmtId="0" fontId="102" fillId="3" borderId="9" xfId="5" applyFont="1" applyFill="1" applyBorder="1" applyAlignment="1">
      <alignment horizontal="center" vertical="center"/>
    </xf>
    <xf numFmtId="14" fontId="102" fillId="3" borderId="1" xfId="5" applyNumberFormat="1" applyFont="1" applyFill="1" applyBorder="1" applyAlignment="1" applyProtection="1">
      <alignment horizontal="center" vertical="center"/>
      <protection locked="0"/>
    </xf>
    <xf numFmtId="14" fontId="102" fillId="3" borderId="3" xfId="5" applyNumberFormat="1" applyFont="1" applyFill="1" applyBorder="1" applyAlignment="1" applyProtection="1">
      <alignment horizontal="center" vertical="center"/>
      <protection locked="0"/>
    </xf>
    <xf numFmtId="14" fontId="102" fillId="3" borderId="4" xfId="5" applyNumberFormat="1" applyFont="1" applyFill="1" applyBorder="1" applyAlignment="1" applyProtection="1">
      <alignment horizontal="center" vertical="center"/>
      <protection locked="0"/>
    </xf>
    <xf numFmtId="191" fontId="102" fillId="2" borderId="1" xfId="4" applyNumberFormat="1" applyFont="1" applyFill="1" applyBorder="1" applyAlignment="1">
      <alignment horizontal="center" vertical="center"/>
    </xf>
    <xf numFmtId="191" fontId="102" fillId="2" borderId="3" xfId="4" applyNumberFormat="1" applyFont="1" applyFill="1" applyBorder="1" applyAlignment="1">
      <alignment horizontal="center" vertical="center"/>
    </xf>
    <xf numFmtId="191" fontId="102" fillId="2" borderId="4" xfId="4" applyNumberFormat="1" applyFont="1" applyFill="1" applyBorder="1" applyAlignment="1">
      <alignment horizontal="center" vertical="center"/>
    </xf>
    <xf numFmtId="192" fontId="102" fillId="2" borderId="3" xfId="4" applyNumberFormat="1" applyFont="1" applyFill="1" applyBorder="1" applyAlignment="1">
      <alignment horizontal="center" vertical="center"/>
    </xf>
    <xf numFmtId="14" fontId="125" fillId="2" borderId="5" xfId="5" applyNumberFormat="1" applyFont="1" applyFill="1" applyBorder="1" applyAlignment="1" applyProtection="1">
      <alignment horizontal="center" vertical="center"/>
      <protection locked="0"/>
    </xf>
    <xf numFmtId="14" fontId="125" fillId="2" borderId="15" xfId="5" applyNumberFormat="1" applyFont="1" applyFill="1" applyBorder="1" applyAlignment="1" applyProtection="1">
      <alignment horizontal="center" vertical="center"/>
      <protection locked="0"/>
    </xf>
    <xf numFmtId="14" fontId="125" fillId="2" borderId="6" xfId="5" applyNumberFormat="1" applyFont="1" applyFill="1" applyBorder="1" applyAlignment="1" applyProtection="1">
      <alignment horizontal="center" vertical="center"/>
      <protection locked="0"/>
    </xf>
    <xf numFmtId="0" fontId="125" fillId="0" borderId="5" xfId="5" applyFont="1" applyBorder="1" applyAlignment="1">
      <alignment horizontal="center" vertical="center"/>
    </xf>
    <xf numFmtId="0" fontId="125" fillId="0" borderId="15" xfId="5" applyFont="1" applyBorder="1" applyAlignment="1">
      <alignment horizontal="center" vertical="center"/>
    </xf>
    <xf numFmtId="0" fontId="125" fillId="0" borderId="6" xfId="5" applyFont="1" applyBorder="1" applyAlignment="1">
      <alignment horizontal="center" vertical="center"/>
    </xf>
    <xf numFmtId="0" fontId="102" fillId="0" borderId="0" xfId="5" applyFont="1" applyAlignment="1">
      <alignment horizontal="left" vertical="center" wrapText="1"/>
    </xf>
    <xf numFmtId="0" fontId="130" fillId="0" borderId="1" xfId="1" applyFont="1" applyBorder="1" applyAlignment="1">
      <alignment horizontal="center" vertical="center" wrapText="1"/>
    </xf>
    <xf numFmtId="0" fontId="130" fillId="0" borderId="3" xfId="1" applyFont="1" applyBorder="1" applyAlignment="1">
      <alignment horizontal="center" vertical="center" wrapText="1"/>
    </xf>
    <xf numFmtId="0" fontId="130" fillId="0" borderId="4" xfId="1" applyFont="1" applyBorder="1" applyAlignment="1">
      <alignment horizontal="center" vertical="center" wrapText="1"/>
    </xf>
    <xf numFmtId="0" fontId="102" fillId="0" borderId="2" xfId="5" applyFont="1" applyBorder="1" applyAlignment="1">
      <alignment horizontal="center" vertical="center"/>
    </xf>
    <xf numFmtId="0" fontId="102" fillId="0" borderId="2" xfId="5" applyFont="1" applyBorder="1" applyAlignment="1">
      <alignment horizontal="center" vertical="center" wrapText="1"/>
    </xf>
    <xf numFmtId="49" fontId="107" fillId="9" borderId="39" xfId="5" applyNumberFormat="1" applyFont="1" applyFill="1" applyBorder="1" applyAlignment="1">
      <alignment horizontal="center" vertical="center" wrapText="1"/>
    </xf>
    <xf numFmtId="49" fontId="107" fillId="9" borderId="41" xfId="5" applyNumberFormat="1" applyFont="1" applyFill="1" applyBorder="1" applyAlignment="1">
      <alignment horizontal="center" vertical="center"/>
    </xf>
    <xf numFmtId="10" fontId="128" fillId="2" borderId="42" xfId="5" applyNumberFormat="1" applyFont="1" applyFill="1" applyBorder="1" applyAlignment="1">
      <alignment horizontal="center" vertical="center"/>
    </xf>
    <xf numFmtId="10" fontId="128" fillId="2" borderId="43" xfId="5" applyNumberFormat="1" applyFont="1" applyFill="1" applyBorder="1" applyAlignment="1">
      <alignment horizontal="center" vertical="center"/>
    </xf>
    <xf numFmtId="10" fontId="128" fillId="2" borderId="45" xfId="5" applyNumberFormat="1" applyFont="1" applyFill="1" applyBorder="1" applyAlignment="1">
      <alignment horizontal="center" vertical="center"/>
    </xf>
    <xf numFmtId="0" fontId="119" fillId="0" borderId="25" xfId="5" applyFont="1" applyBorder="1" applyAlignment="1">
      <alignment horizontal="left" vertical="center" wrapText="1"/>
    </xf>
    <xf numFmtId="0" fontId="119" fillId="0" borderId="0" xfId="5" applyFont="1" applyBorder="1" applyAlignment="1">
      <alignment horizontal="left" vertical="center" wrapText="1"/>
    </xf>
    <xf numFmtId="0" fontId="129" fillId="2" borderId="7" xfId="4" applyNumberFormat="1" applyFont="1" applyFill="1" applyBorder="1" applyAlignment="1">
      <alignment horizontal="center" vertical="center" shrinkToFit="1"/>
    </xf>
    <xf numFmtId="0" fontId="129" fillId="2" borderId="12" xfId="4" applyNumberFormat="1" applyFont="1" applyFill="1" applyBorder="1" applyAlignment="1">
      <alignment horizontal="center" vertical="center" shrinkToFit="1"/>
    </xf>
    <xf numFmtId="0" fontId="129" fillId="2" borderId="8" xfId="4" applyNumberFormat="1" applyFont="1" applyFill="1" applyBorder="1" applyAlignment="1">
      <alignment horizontal="center" vertical="center" shrinkToFit="1"/>
    </xf>
    <xf numFmtId="0" fontId="102" fillId="0" borderId="1" xfId="5" applyFont="1" applyBorder="1" applyAlignment="1">
      <alignment horizontal="center" vertical="center"/>
    </xf>
    <xf numFmtId="0" fontId="102" fillId="0" borderId="3" xfId="5" applyFont="1" applyBorder="1" applyAlignment="1">
      <alignment horizontal="center" vertical="center"/>
    </xf>
    <xf numFmtId="0" fontId="102" fillId="0" borderId="4" xfId="5" applyFont="1" applyBorder="1" applyAlignment="1">
      <alignment horizontal="center" vertical="center"/>
    </xf>
    <xf numFmtId="0" fontId="126" fillId="0" borderId="13" xfId="4" applyNumberFormat="1" applyFont="1" applyFill="1" applyBorder="1" applyAlignment="1">
      <alignment horizontal="center" vertical="center"/>
    </xf>
    <xf numFmtId="0" fontId="126" fillId="0" borderId="10" xfId="4" applyNumberFormat="1" applyFont="1" applyFill="1" applyBorder="1" applyAlignment="1">
      <alignment horizontal="center" vertical="center"/>
    </xf>
    <xf numFmtId="0" fontId="102" fillId="0" borderId="1" xfId="5" applyFont="1" applyBorder="1" applyAlignment="1">
      <alignment horizontal="center" vertical="center" wrapText="1"/>
    </xf>
    <xf numFmtId="0" fontId="102" fillId="0" borderId="3" xfId="5" applyFont="1" applyBorder="1" applyAlignment="1">
      <alignment horizontal="center" vertical="center" wrapText="1"/>
    </xf>
    <xf numFmtId="0" fontId="102" fillId="0" borderId="40" xfId="5" applyFont="1" applyBorder="1" applyAlignment="1">
      <alignment horizontal="center" vertical="center"/>
    </xf>
    <xf numFmtId="0" fontId="125" fillId="0" borderId="44" xfId="5" applyFont="1" applyBorder="1" applyAlignment="1">
      <alignment horizontal="center" vertical="center"/>
    </xf>
    <xf numFmtId="0" fontId="125" fillId="0" borderId="29" xfId="5" applyFont="1" applyBorder="1" applyAlignment="1">
      <alignment horizontal="center" vertical="center"/>
    </xf>
    <xf numFmtId="0" fontId="107" fillId="2" borderId="40" xfId="4" applyNumberFormat="1" applyFont="1" applyFill="1" applyBorder="1" applyAlignment="1">
      <alignment horizontal="center" vertical="center" shrinkToFit="1"/>
    </xf>
    <xf numFmtId="0" fontId="107" fillId="2" borderId="2" xfId="4" applyNumberFormat="1" applyFont="1" applyFill="1" applyBorder="1" applyAlignment="1">
      <alignment horizontal="center" vertical="center" shrinkToFit="1"/>
    </xf>
    <xf numFmtId="179" fontId="128" fillId="2" borderId="41" xfId="4" applyNumberFormat="1" applyFont="1" applyFill="1" applyBorder="1" applyAlignment="1">
      <alignment horizontal="center" vertical="center"/>
    </xf>
    <xf numFmtId="179" fontId="128" fillId="2" borderId="42" xfId="4" applyNumberFormat="1" applyFont="1" applyFill="1" applyBorder="1" applyAlignment="1">
      <alignment horizontal="center" vertical="center"/>
    </xf>
    <xf numFmtId="179" fontId="128" fillId="2" borderId="46" xfId="4" applyNumberFormat="1" applyFont="1" applyFill="1" applyBorder="1" applyAlignment="1">
      <alignment horizontal="center" vertical="center"/>
    </xf>
    <xf numFmtId="0" fontId="107" fillId="2" borderId="76" xfId="4" applyNumberFormat="1" applyFont="1" applyFill="1" applyBorder="1" applyAlignment="1">
      <alignment horizontal="center" vertical="center" shrinkToFit="1"/>
    </xf>
    <xf numFmtId="0" fontId="107" fillId="2" borderId="15" xfId="4" applyNumberFormat="1" applyFont="1" applyFill="1" applyBorder="1" applyAlignment="1">
      <alignment horizontal="center" vertical="center" shrinkToFit="1"/>
    </xf>
    <xf numFmtId="0" fontId="107" fillId="2" borderId="6" xfId="4" applyNumberFormat="1" applyFont="1" applyFill="1" applyBorder="1" applyAlignment="1">
      <alignment horizontal="center" vertical="center" shrinkToFit="1"/>
    </xf>
    <xf numFmtId="0" fontId="107" fillId="2" borderId="74" xfId="4" applyNumberFormat="1" applyFont="1" applyFill="1" applyBorder="1" applyAlignment="1">
      <alignment horizontal="center" vertical="center"/>
    </xf>
    <xf numFmtId="0" fontId="107" fillId="2" borderId="28" xfId="4" applyNumberFormat="1" applyFont="1" applyFill="1" applyBorder="1" applyAlignment="1">
      <alignment horizontal="center" vertical="center"/>
    </xf>
    <xf numFmtId="0" fontId="107" fillId="9" borderId="37" xfId="4" applyNumberFormat="1" applyFont="1" applyFill="1" applyBorder="1" applyAlignment="1">
      <alignment horizontal="center" vertical="center"/>
    </xf>
    <xf numFmtId="0" fontId="107" fillId="9" borderId="38" xfId="4" applyNumberFormat="1" applyFont="1" applyFill="1" applyBorder="1" applyAlignment="1">
      <alignment horizontal="center" vertical="center"/>
    </xf>
    <xf numFmtId="0" fontId="107" fillId="9" borderId="40" xfId="4" applyNumberFormat="1" applyFont="1" applyFill="1" applyBorder="1" applyAlignment="1">
      <alignment horizontal="center" vertical="center"/>
    </xf>
    <xf numFmtId="0" fontId="107" fillId="9" borderId="2" xfId="4" applyNumberFormat="1" applyFont="1" applyFill="1" applyBorder="1" applyAlignment="1">
      <alignment horizontal="center" vertical="center"/>
    </xf>
    <xf numFmtId="0" fontId="107" fillId="9" borderId="56" xfId="5" applyFont="1" applyFill="1" applyBorder="1" applyAlignment="1">
      <alignment horizontal="center" vertical="center"/>
    </xf>
    <xf numFmtId="0" fontId="107" fillId="9" borderId="5" xfId="5" applyFont="1" applyFill="1" applyBorder="1" applyAlignment="1">
      <alignment horizontal="center" vertical="center"/>
    </xf>
    <xf numFmtId="49" fontId="107" fillId="9" borderId="37" xfId="5" applyNumberFormat="1" applyFont="1" applyFill="1" applyBorder="1" applyAlignment="1">
      <alignment horizontal="center" vertical="center"/>
    </xf>
    <xf numFmtId="49" fontId="107" fillId="9" borderId="40" xfId="5" applyNumberFormat="1" applyFont="1" applyFill="1" applyBorder="1" applyAlignment="1">
      <alignment horizontal="center" vertical="center"/>
    </xf>
    <xf numFmtId="189" fontId="107" fillId="9" borderId="38" xfId="5" applyNumberFormat="1" applyFont="1" applyFill="1" applyBorder="1" applyAlignment="1">
      <alignment horizontal="center" vertical="center"/>
    </xf>
    <xf numFmtId="189" fontId="107" fillId="9" borderId="39" xfId="5" applyNumberFormat="1" applyFont="1" applyFill="1" applyBorder="1" applyAlignment="1">
      <alignment horizontal="center" vertical="center" wrapText="1"/>
    </xf>
    <xf numFmtId="189" fontId="107" fillId="9" borderId="41" xfId="5" applyNumberFormat="1" applyFont="1" applyFill="1" applyBorder="1" applyAlignment="1">
      <alignment horizontal="center" vertical="center"/>
    </xf>
    <xf numFmtId="189" fontId="125" fillId="0" borderId="0" xfId="5" applyNumberFormat="1" applyFont="1" applyAlignment="1">
      <alignment horizontal="left" vertical="center"/>
    </xf>
    <xf numFmtId="0" fontId="126" fillId="0" borderId="54" xfId="4" applyNumberFormat="1" applyFont="1" applyFill="1" applyBorder="1" applyAlignment="1">
      <alignment horizontal="center" vertical="center"/>
    </xf>
    <xf numFmtId="0" fontId="126" fillId="0" borderId="55" xfId="4" applyNumberFormat="1" applyFont="1" applyFill="1" applyBorder="1" applyAlignment="1">
      <alignment horizontal="center" vertical="center"/>
    </xf>
    <xf numFmtId="0" fontId="126" fillId="0" borderId="57" xfId="4" applyNumberFormat="1" applyFont="1" applyFill="1" applyBorder="1" applyAlignment="1">
      <alignment horizontal="center" vertical="center"/>
    </xf>
    <xf numFmtId="0" fontId="126" fillId="0" borderId="1" xfId="1" applyFont="1" applyBorder="1" applyAlignment="1">
      <alignment horizontal="center" vertical="top" wrapText="1"/>
    </xf>
    <xf numFmtId="0" fontId="126" fillId="0" borderId="3" xfId="1" applyFont="1" applyBorder="1" applyAlignment="1">
      <alignment horizontal="center" vertical="top" wrapText="1"/>
    </xf>
    <xf numFmtId="0" fontId="126" fillId="0" borderId="4" xfId="1" applyFont="1" applyBorder="1" applyAlignment="1">
      <alignment horizontal="center" vertical="top" wrapText="1"/>
    </xf>
    <xf numFmtId="0" fontId="125" fillId="0" borderId="1" xfId="1" applyFont="1" applyBorder="1" applyAlignment="1">
      <alignment horizontal="center" vertical="top" wrapText="1"/>
    </xf>
    <xf numFmtId="0" fontId="125" fillId="0" borderId="3" xfId="1" applyFont="1" applyBorder="1" applyAlignment="1">
      <alignment horizontal="center" vertical="top" wrapText="1"/>
    </xf>
    <xf numFmtId="0" fontId="125" fillId="0" borderId="4" xfId="1" applyFont="1" applyBorder="1" applyAlignment="1">
      <alignment horizontal="center" vertical="top" wrapText="1"/>
    </xf>
    <xf numFmtId="0" fontId="125" fillId="0" borderId="1" xfId="1" applyFont="1" applyBorder="1" applyAlignment="1">
      <alignment horizontal="center" vertical="center" wrapText="1"/>
    </xf>
    <xf numFmtId="0" fontId="125" fillId="0" borderId="3" xfId="1" applyFont="1" applyBorder="1" applyAlignment="1">
      <alignment horizontal="center" vertical="center" wrapText="1"/>
    </xf>
    <xf numFmtId="0" fontId="125" fillId="0" borderId="4" xfId="1" applyFont="1" applyBorder="1" applyAlignment="1">
      <alignment horizontal="center" vertical="center" wrapText="1"/>
    </xf>
    <xf numFmtId="0" fontId="102" fillId="0" borderId="4" xfId="1" applyFont="1" applyBorder="1"/>
    <xf numFmtId="0" fontId="125" fillId="0" borderId="2" xfId="1" applyFont="1" applyBorder="1" applyAlignment="1">
      <alignment horizontal="center" vertical="center"/>
    </xf>
    <xf numFmtId="0" fontId="125" fillId="3" borderId="1" xfId="1" applyFont="1" applyFill="1" applyBorder="1" applyAlignment="1">
      <alignment horizontal="center" vertical="center"/>
    </xf>
    <xf numFmtId="0" fontId="125" fillId="3" borderId="4" xfId="1" applyFont="1" applyFill="1" applyBorder="1" applyAlignment="1">
      <alignment horizontal="center" vertical="center"/>
    </xf>
    <xf numFmtId="0" fontId="125" fillId="11" borderId="12" xfId="1" applyFont="1" applyFill="1" applyBorder="1" applyAlignment="1">
      <alignment horizontal="center" vertical="center"/>
    </xf>
    <xf numFmtId="14" fontId="125" fillId="0" borderId="5" xfId="1" applyNumberFormat="1" applyFont="1" applyBorder="1" applyAlignment="1">
      <alignment horizontal="center" vertical="center"/>
    </xf>
    <xf numFmtId="14" fontId="125" fillId="0" borderId="15" xfId="1" applyNumberFormat="1" applyFont="1" applyBorder="1" applyAlignment="1">
      <alignment horizontal="center" vertical="center"/>
    </xf>
    <xf numFmtId="14" fontId="125" fillId="0" borderId="6" xfId="1" applyNumberFormat="1" applyFont="1" applyBorder="1" applyAlignment="1">
      <alignment horizontal="center" vertical="center"/>
    </xf>
    <xf numFmtId="0" fontId="125" fillId="0" borderId="1" xfId="1" applyFont="1" applyBorder="1" applyAlignment="1">
      <alignment horizontal="center" vertical="center"/>
    </xf>
    <xf numFmtId="0" fontId="125" fillId="0" borderId="4" xfId="1" applyFont="1" applyBorder="1" applyAlignment="1">
      <alignment horizontal="center" vertical="center"/>
    </xf>
    <xf numFmtId="0" fontId="125" fillId="11" borderId="2" xfId="1" applyFont="1" applyFill="1" applyBorder="1" applyAlignment="1">
      <alignment horizontal="center" vertical="center"/>
    </xf>
    <xf numFmtId="0" fontId="125" fillId="0" borderId="2" xfId="1" applyFont="1" applyBorder="1" applyAlignment="1">
      <alignment horizontal="center" vertical="center" wrapText="1"/>
    </xf>
    <xf numFmtId="0" fontId="125" fillId="0" borderId="1" xfId="1" applyFont="1" applyBorder="1" applyAlignment="1">
      <alignment horizontal="center" vertical="center" shrinkToFit="1"/>
    </xf>
    <xf numFmtId="0" fontId="125" fillId="0" borderId="4" xfId="1" applyFont="1" applyBorder="1" applyAlignment="1">
      <alignment horizontal="center" vertical="center" shrinkToFit="1"/>
    </xf>
    <xf numFmtId="0" fontId="108" fillId="0" borderId="2" xfId="1" applyFont="1" applyBorder="1" applyAlignment="1">
      <alignment horizontal="center" vertical="center" wrapText="1"/>
    </xf>
    <xf numFmtId="0" fontId="108" fillId="0" borderId="2" xfId="1" applyFont="1" applyBorder="1" applyAlignment="1">
      <alignment horizontal="center" vertical="center"/>
    </xf>
    <xf numFmtId="0" fontId="125" fillId="0" borderId="2" xfId="1" applyFont="1" applyBorder="1" applyAlignment="1">
      <alignment horizontal="center" vertical="top" wrapText="1"/>
    </xf>
    <xf numFmtId="0" fontId="125" fillId="0" borderId="6" xfId="1" applyFont="1" applyBorder="1" applyAlignment="1">
      <alignment horizontal="center" vertical="center" wrapText="1"/>
    </xf>
    <xf numFmtId="0" fontId="125" fillId="0" borderId="6" xfId="1" applyFont="1" applyBorder="1" applyAlignment="1">
      <alignment horizontal="center" vertical="center"/>
    </xf>
    <xf numFmtId="0" fontId="104" fillId="0" borderId="2" xfId="1" applyFont="1" applyBorder="1" applyAlignment="1">
      <alignment horizontal="center" vertical="center"/>
    </xf>
    <xf numFmtId="0" fontId="104" fillId="0" borderId="1" xfId="1" applyFont="1" applyBorder="1" applyAlignment="1">
      <alignment horizontal="center" vertical="center" wrapText="1"/>
    </xf>
    <xf numFmtId="0" fontId="104" fillId="0" borderId="4" xfId="1" applyFont="1" applyBorder="1" applyAlignment="1">
      <alignment horizontal="center" vertical="center"/>
    </xf>
    <xf numFmtId="204" fontId="104" fillId="0" borderId="1" xfId="1" applyNumberFormat="1" applyFont="1" applyBorder="1" applyAlignment="1">
      <alignment horizontal="center" vertical="center" wrapText="1"/>
    </xf>
    <xf numFmtId="204" fontId="104" fillId="0" borderId="4" xfId="1" applyNumberFormat="1" applyFont="1" applyBorder="1" applyAlignment="1">
      <alignment horizontal="center" vertical="center"/>
    </xf>
    <xf numFmtId="41" fontId="104" fillId="0" borderId="1" xfId="4" applyFont="1" applyBorder="1" applyAlignment="1">
      <alignment horizontal="center" vertical="center" wrapText="1"/>
    </xf>
    <xf numFmtId="41" fontId="104" fillId="0" borderId="4" xfId="4" applyFont="1" applyBorder="1" applyAlignment="1">
      <alignment horizontal="center" vertical="center"/>
    </xf>
    <xf numFmtId="0" fontId="126" fillId="0" borderId="0" xfId="1" applyFont="1" applyAlignment="1">
      <alignment horizontal="left" vertical="center"/>
    </xf>
    <xf numFmtId="0" fontId="126" fillId="2" borderId="13" xfId="1" applyFont="1" applyFill="1" applyBorder="1" applyAlignment="1">
      <alignment horizontal="center" vertical="center" shrinkToFit="1"/>
    </xf>
    <xf numFmtId="0" fontId="125" fillId="0" borderId="1" xfId="1" applyFont="1" applyBorder="1" applyAlignment="1">
      <alignment horizontal="center" vertical="top"/>
    </xf>
    <xf numFmtId="0" fontId="125" fillId="0" borderId="4" xfId="1" applyFont="1" applyBorder="1" applyAlignment="1">
      <alignment horizontal="center" vertical="top"/>
    </xf>
    <xf numFmtId="0" fontId="125" fillId="3" borderId="1" xfId="1" applyFont="1" applyFill="1" applyBorder="1" applyAlignment="1">
      <alignment horizontal="center" vertical="center" wrapText="1"/>
    </xf>
    <xf numFmtId="0" fontId="125" fillId="3" borderId="4" xfId="1" applyFont="1" applyFill="1" applyBorder="1" applyAlignment="1">
      <alignment horizontal="center" vertical="center" wrapText="1"/>
    </xf>
    <xf numFmtId="0" fontId="125" fillId="3" borderId="3" xfId="1" applyFont="1" applyFill="1" applyBorder="1" applyAlignment="1">
      <alignment horizontal="center" vertical="center" wrapText="1"/>
    </xf>
    <xf numFmtId="0" fontId="125" fillId="0" borderId="3" xfId="1" applyFont="1" applyBorder="1" applyAlignment="1">
      <alignment horizontal="center" vertical="top"/>
    </xf>
    <xf numFmtId="0" fontId="112" fillId="0" borderId="58" xfId="1" applyFont="1" applyBorder="1" applyAlignment="1">
      <alignment horizontal="center" vertical="center" wrapText="1"/>
    </xf>
    <xf numFmtId="0" fontId="112" fillId="0" borderId="59" xfId="1" applyFont="1" applyBorder="1" applyAlignment="1">
      <alignment horizontal="center" vertical="center"/>
    </xf>
    <xf numFmtId="0" fontId="112" fillId="0" borderId="60" xfId="1" applyFont="1" applyBorder="1" applyAlignment="1">
      <alignment horizontal="center" vertical="center"/>
    </xf>
    <xf numFmtId="0" fontId="93" fillId="0" borderId="32" xfId="7" applyFont="1" applyBorder="1" applyAlignment="1">
      <alignment horizontal="left" vertical="center" wrapText="1"/>
    </xf>
    <xf numFmtId="0" fontId="93" fillId="0" borderId="33" xfId="7" applyFont="1" applyBorder="1" applyAlignment="1">
      <alignment horizontal="left" vertical="center" wrapText="1"/>
    </xf>
    <xf numFmtId="0" fontId="93" fillId="0" borderId="34" xfId="7" applyFont="1" applyBorder="1" applyAlignment="1">
      <alignment horizontal="left" vertical="center" wrapText="1"/>
    </xf>
    <xf numFmtId="0" fontId="93" fillId="0" borderId="35" xfId="7" applyFont="1" applyBorder="1" applyAlignment="1">
      <alignment horizontal="left" vertical="center" wrapText="1"/>
    </xf>
    <xf numFmtId="0" fontId="93" fillId="0" borderId="27" xfId="7" applyFont="1" applyBorder="1" applyAlignment="1">
      <alignment horizontal="left" vertical="center" wrapText="1"/>
    </xf>
    <xf numFmtId="0" fontId="93" fillId="0" borderId="36" xfId="7" applyFont="1" applyBorder="1" applyAlignment="1">
      <alignment horizontal="left" vertical="center" wrapText="1"/>
    </xf>
    <xf numFmtId="0" fontId="105" fillId="0" borderId="32" xfId="0" applyFont="1" applyBorder="1" applyAlignment="1">
      <alignment horizontal="center" vertical="center" wrapText="1"/>
    </xf>
    <xf numFmtId="0" fontId="105" fillId="0" borderId="33" xfId="0" applyFont="1" applyBorder="1" applyAlignment="1">
      <alignment horizontal="center" vertical="center"/>
    </xf>
    <xf numFmtId="0" fontId="105" fillId="0" borderId="34" xfId="0" applyFont="1" applyBorder="1" applyAlignment="1">
      <alignment horizontal="center" vertical="center"/>
    </xf>
    <xf numFmtId="0" fontId="105" fillId="0" borderId="11" xfId="0" applyFont="1" applyBorder="1" applyAlignment="1">
      <alignment horizontal="center" vertical="center" wrapText="1"/>
    </xf>
    <xf numFmtId="0" fontId="105" fillId="0" borderId="0" xfId="0" applyFont="1" applyBorder="1" applyAlignment="1">
      <alignment horizontal="center" vertical="center"/>
    </xf>
    <xf numFmtId="0" fontId="105" fillId="0" borderId="47" xfId="0" applyFont="1" applyBorder="1" applyAlignment="1">
      <alignment horizontal="center" vertical="center"/>
    </xf>
    <xf numFmtId="0" fontId="105" fillId="0" borderId="11" xfId="0" applyFont="1" applyBorder="1" applyAlignment="1">
      <alignment horizontal="center" vertical="center"/>
    </xf>
    <xf numFmtId="0" fontId="105" fillId="0" borderId="0" xfId="0" applyFont="1" applyAlignment="1">
      <alignment horizontal="center" vertical="center"/>
    </xf>
    <xf numFmtId="0" fontId="105" fillId="0" borderId="35" xfId="0" applyFont="1" applyBorder="1" applyAlignment="1">
      <alignment horizontal="center" vertical="center"/>
    </xf>
    <xf numFmtId="0" fontId="105" fillId="0" borderId="27" xfId="0" applyFont="1" applyBorder="1" applyAlignment="1">
      <alignment horizontal="center" vertical="center"/>
    </xf>
    <xf numFmtId="0" fontId="105" fillId="0" borderId="36" xfId="0" applyFont="1" applyBorder="1" applyAlignment="1">
      <alignment horizontal="center" vertical="center"/>
    </xf>
    <xf numFmtId="0" fontId="122" fillId="10" borderId="2" xfId="1" applyFont="1" applyFill="1" applyBorder="1" applyAlignment="1">
      <alignment horizontal="center" vertical="center" wrapText="1"/>
    </xf>
    <xf numFmtId="0" fontId="91" fillId="0" borderId="37" xfId="1" applyFont="1" applyBorder="1" applyAlignment="1">
      <alignment horizontal="center" vertical="center" shrinkToFit="1"/>
    </xf>
    <xf numFmtId="0" fontId="91" fillId="0" borderId="40" xfId="1" applyFont="1" applyBorder="1" applyAlignment="1">
      <alignment horizontal="center" vertical="center" shrinkToFit="1"/>
    </xf>
    <xf numFmtId="14" fontId="135" fillId="2" borderId="39" xfId="1" applyNumberFormat="1" applyFont="1" applyFill="1" applyBorder="1" applyAlignment="1">
      <alignment horizontal="center" vertical="center"/>
    </xf>
    <xf numFmtId="14" fontId="135" fillId="2" borderId="41" xfId="1" applyNumberFormat="1" applyFont="1" applyFill="1" applyBorder="1" applyAlignment="1">
      <alignment horizontal="center" vertical="center"/>
    </xf>
    <xf numFmtId="0" fontId="125" fillId="0" borderId="1" xfId="1" applyFont="1" applyBorder="1" applyAlignment="1">
      <alignment horizontal="center" vertical="center" wrapText="1" shrinkToFit="1"/>
    </xf>
    <xf numFmtId="0" fontId="125" fillId="3" borderId="2" xfId="1" applyFont="1" applyFill="1" applyBorder="1" applyAlignment="1">
      <alignment horizontal="center" vertical="center" wrapText="1"/>
    </xf>
    <xf numFmtId="0" fontId="140" fillId="3" borderId="0" xfId="7" applyFont="1" applyFill="1" applyAlignment="1">
      <alignment horizontal="center" vertical="center"/>
    </xf>
    <xf numFmtId="0" fontId="125" fillId="3" borderId="7" xfId="1" applyFont="1" applyFill="1" applyBorder="1" applyAlignment="1">
      <alignment horizontal="center" vertical="center" wrapText="1"/>
    </xf>
    <xf numFmtId="0" fontId="125" fillId="3" borderId="8" xfId="1" applyFont="1" applyFill="1" applyBorder="1" applyAlignment="1">
      <alignment horizontal="center" vertical="center" wrapText="1"/>
    </xf>
    <xf numFmtId="0" fontId="125" fillId="3" borderId="25" xfId="1" applyFont="1" applyFill="1" applyBorder="1" applyAlignment="1">
      <alignment horizontal="center" vertical="center" wrapText="1"/>
    </xf>
    <xf numFmtId="0" fontId="125" fillId="3" borderId="26" xfId="1" applyFont="1" applyFill="1" applyBorder="1" applyAlignment="1">
      <alignment horizontal="center" vertical="center" wrapText="1"/>
    </xf>
    <xf numFmtId="0" fontId="125" fillId="3" borderId="9" xfId="1" applyFont="1" applyFill="1" applyBorder="1" applyAlignment="1">
      <alignment horizontal="center" vertical="center" wrapText="1"/>
    </xf>
    <xf numFmtId="0" fontId="125" fillId="3" borderId="10" xfId="1" applyFont="1" applyFill="1" applyBorder="1" applyAlignment="1">
      <alignment horizontal="center" vertical="center" wrapText="1"/>
    </xf>
    <xf numFmtId="0" fontId="125" fillId="3" borderId="3" xfId="1" applyFont="1" applyFill="1" applyBorder="1" applyAlignment="1">
      <alignment horizontal="center" vertical="center"/>
    </xf>
    <xf numFmtId="14" fontId="125" fillId="3" borderId="2" xfId="1" applyNumberFormat="1" applyFont="1" applyFill="1" applyBorder="1" applyAlignment="1">
      <alignment horizontal="center" vertical="center" wrapText="1"/>
    </xf>
    <xf numFmtId="0" fontId="118" fillId="0" borderId="0" xfId="0" applyFont="1" applyAlignment="1">
      <alignment horizontal="left" vertical="center"/>
    </xf>
    <xf numFmtId="0" fontId="125" fillId="0" borderId="3" xfId="1" applyFont="1" applyBorder="1" applyAlignment="1">
      <alignment horizontal="center" vertical="center"/>
    </xf>
    <xf numFmtId="0" fontId="125" fillId="0" borderId="5" xfId="1" applyFont="1" applyBorder="1" applyAlignment="1">
      <alignment horizontal="center" vertical="center" shrinkToFit="1"/>
    </xf>
    <xf numFmtId="0" fontId="125" fillId="0" borderId="15" xfId="1" applyFont="1" applyBorder="1" applyAlignment="1">
      <alignment horizontal="center" vertical="center" shrinkToFit="1"/>
    </xf>
    <xf numFmtId="0" fontId="125" fillId="0" borderId="6" xfId="1" applyFont="1" applyBorder="1" applyAlignment="1">
      <alignment horizontal="center" vertical="center" shrinkToFit="1"/>
    </xf>
    <xf numFmtId="0" fontId="139" fillId="0" borderId="13" xfId="1" applyFont="1" applyBorder="1" applyAlignment="1">
      <alignment horizontal="center" vertical="center"/>
    </xf>
    <xf numFmtId="0" fontId="109" fillId="0" borderId="0" xfId="1" applyFont="1" applyAlignment="1">
      <alignment horizontal="left" vertical="center" wrapText="1"/>
    </xf>
    <xf numFmtId="0" fontId="103" fillId="0" borderId="0" xfId="1" applyFont="1" applyAlignment="1">
      <alignment horizontal="left" vertical="center"/>
    </xf>
    <xf numFmtId="0" fontId="109" fillId="2" borderId="13" xfId="3" applyFont="1" applyFill="1" applyBorder="1" applyAlignment="1">
      <alignment horizontal="center" vertical="center"/>
    </xf>
    <xf numFmtId="0" fontId="137" fillId="0" borderId="0" xfId="1" applyFont="1" applyAlignment="1">
      <alignment horizontal="left" vertical="center" wrapText="1"/>
    </xf>
    <xf numFmtId="0" fontId="137" fillId="0" borderId="0" xfId="1" applyFont="1" applyAlignment="1">
      <alignment horizontal="left" vertical="center"/>
    </xf>
    <xf numFmtId="0" fontId="105" fillId="0" borderId="0" xfId="1" applyFont="1" applyAlignment="1">
      <alignment horizontal="center" vertical="center" wrapText="1"/>
    </xf>
    <xf numFmtId="0" fontId="125" fillId="13" borderId="5" xfId="1" applyFont="1" applyFill="1" applyBorder="1" applyAlignment="1">
      <alignment horizontal="center" vertical="center"/>
    </xf>
    <xf numFmtId="0" fontId="125" fillId="13" borderId="15" xfId="1" applyFont="1" applyFill="1" applyBorder="1" applyAlignment="1">
      <alignment horizontal="center" vertical="center"/>
    </xf>
    <xf numFmtId="0" fontId="125" fillId="13" borderId="6" xfId="1" applyFont="1" applyFill="1" applyBorder="1" applyAlignment="1">
      <alignment horizontal="center" vertical="center"/>
    </xf>
    <xf numFmtId="0" fontId="125" fillId="0" borderId="2" xfId="1" applyFont="1" applyBorder="1" applyAlignment="1">
      <alignment horizontal="center" vertical="center" shrinkToFit="1"/>
    </xf>
    <xf numFmtId="14" fontId="125" fillId="2" borderId="2" xfId="1" applyNumberFormat="1" applyFont="1" applyFill="1" applyBorder="1" applyAlignment="1">
      <alignment horizontal="center" vertical="center"/>
    </xf>
    <xf numFmtId="0" fontId="125" fillId="2" borderId="2" xfId="1" applyFont="1" applyFill="1" applyBorder="1" applyAlignment="1">
      <alignment horizontal="center" vertical="center"/>
    </xf>
    <xf numFmtId="0" fontId="125" fillId="0" borderId="5" xfId="1" applyFont="1" applyBorder="1" applyAlignment="1">
      <alignment horizontal="center" vertical="center"/>
    </xf>
    <xf numFmtId="0" fontId="125" fillId="11" borderId="5" xfId="1" applyFont="1" applyFill="1" applyBorder="1" applyAlignment="1">
      <alignment horizontal="center" vertical="center" wrapText="1"/>
    </xf>
    <xf numFmtId="0" fontId="125" fillId="11" borderId="15" xfId="1" applyFont="1" applyFill="1" applyBorder="1" applyAlignment="1">
      <alignment horizontal="center" vertical="center" wrapText="1"/>
    </xf>
    <xf numFmtId="0" fontId="125" fillId="11" borderId="6" xfId="1" applyFont="1" applyFill="1" applyBorder="1" applyAlignment="1">
      <alignment horizontal="center" vertical="center" wrapText="1"/>
    </xf>
    <xf numFmtId="0" fontId="89" fillId="0" borderId="2" xfId="1" applyFont="1" applyBorder="1" applyAlignment="1">
      <alignment horizontal="center" vertical="center" shrinkToFit="1"/>
    </xf>
    <xf numFmtId="14" fontId="89" fillId="2" borderId="2" xfId="1" applyNumberFormat="1" applyFont="1" applyFill="1" applyBorder="1" applyAlignment="1">
      <alignment horizontal="center" vertical="center"/>
    </xf>
    <xf numFmtId="0" fontId="89" fillId="2" borderId="2" xfId="1" applyFont="1" applyFill="1" applyBorder="1" applyAlignment="1">
      <alignment horizontal="center" vertical="center"/>
    </xf>
    <xf numFmtId="0" fontId="133" fillId="0" borderId="2" xfId="1" applyFont="1" applyBorder="1" applyAlignment="1">
      <alignment horizontal="center" vertical="center"/>
    </xf>
    <xf numFmtId="0" fontId="133" fillId="0" borderId="2" xfId="1" applyFont="1" applyBorder="1" applyAlignment="1">
      <alignment horizontal="center" vertical="center" wrapText="1"/>
    </xf>
    <xf numFmtId="0" fontId="121" fillId="0" borderId="1" xfId="1" applyFont="1" applyBorder="1" applyAlignment="1">
      <alignment horizontal="center" vertical="center" wrapText="1"/>
    </xf>
    <xf numFmtId="0" fontId="121" fillId="0" borderId="4" xfId="1" applyFont="1" applyBorder="1" applyAlignment="1">
      <alignment horizontal="center" vertical="center"/>
    </xf>
    <xf numFmtId="0" fontId="121" fillId="0" borderId="4" xfId="1" applyFont="1" applyBorder="1" applyAlignment="1">
      <alignment horizontal="center" vertical="center" wrapText="1"/>
    </xf>
    <xf numFmtId="0" fontId="121" fillId="0" borderId="5" xfId="1" applyFont="1" applyBorder="1" applyAlignment="1">
      <alignment horizontal="center" vertical="center"/>
    </xf>
    <xf numFmtId="0" fontId="121" fillId="0" borderId="15" xfId="1" applyFont="1" applyBorder="1" applyAlignment="1">
      <alignment horizontal="center" vertical="center"/>
    </xf>
    <xf numFmtId="0" fontId="121" fillId="0" borderId="7" xfId="1" applyFont="1" applyBorder="1" applyAlignment="1">
      <alignment horizontal="center" vertical="center" wrapText="1"/>
    </xf>
    <xf numFmtId="0" fontId="121" fillId="0" borderId="12" xfId="1" applyFont="1" applyBorder="1" applyAlignment="1">
      <alignment horizontal="center" vertical="center" wrapText="1"/>
    </xf>
    <xf numFmtId="0" fontId="121" fillId="0" borderId="8" xfId="1" applyFont="1" applyBorder="1" applyAlignment="1">
      <alignment horizontal="center" vertical="center" wrapText="1"/>
    </xf>
    <xf numFmtId="0" fontId="121" fillId="0" borderId="25" xfId="1" applyFont="1" applyBorder="1" applyAlignment="1">
      <alignment horizontal="center" vertical="center" wrapText="1"/>
    </xf>
    <xf numFmtId="0" fontId="121" fillId="0" borderId="0" xfId="1" applyFont="1" applyAlignment="1">
      <alignment horizontal="center" vertical="center" wrapText="1"/>
    </xf>
    <xf numFmtId="0" fontId="121" fillId="0" borderId="26" xfId="1" applyFont="1" applyBorder="1" applyAlignment="1">
      <alignment horizontal="center" vertical="center" wrapText="1"/>
    </xf>
    <xf numFmtId="0" fontId="121" fillId="0" borderId="9" xfId="1" applyFont="1" applyBorder="1" applyAlignment="1">
      <alignment horizontal="center" vertical="center" wrapText="1"/>
    </xf>
    <xf numFmtId="0" fontId="121" fillId="0" borderId="13" xfId="1" applyFont="1" applyBorder="1" applyAlignment="1">
      <alignment horizontal="center" vertical="center" wrapText="1"/>
    </xf>
    <xf numFmtId="0" fontId="121" fillId="0" borderId="10" xfId="1" applyFont="1" applyBorder="1" applyAlignment="1">
      <alignment horizontal="center" vertical="center" wrapText="1"/>
    </xf>
    <xf numFmtId="0" fontId="121" fillId="0" borderId="1" xfId="1" applyFont="1" applyBorder="1" applyAlignment="1">
      <alignment horizontal="center" vertical="center"/>
    </xf>
    <xf numFmtId="0" fontId="121" fillId="0" borderId="6" xfId="1" applyFont="1" applyBorder="1" applyAlignment="1">
      <alignment horizontal="center" vertical="center"/>
    </xf>
    <xf numFmtId="0" fontId="121" fillId="0" borderId="2" xfId="1" applyFont="1" applyBorder="1" applyAlignment="1">
      <alignment horizontal="center" vertical="center"/>
    </xf>
    <xf numFmtId="0" fontId="121" fillId="0" borderId="2" xfId="1" applyFont="1" applyBorder="1" applyAlignment="1">
      <alignment horizontal="center" vertical="center" wrapText="1"/>
    </xf>
    <xf numFmtId="189" fontId="121" fillId="0" borderId="1" xfId="1" applyNumberFormat="1" applyFont="1" applyBorder="1" applyAlignment="1">
      <alignment horizontal="center" vertical="center"/>
    </xf>
    <xf numFmtId="189" fontId="121" fillId="0" borderId="4" xfId="1" applyNumberFormat="1" applyFont="1" applyBorder="1" applyAlignment="1">
      <alignment horizontal="center" vertical="center"/>
    </xf>
    <xf numFmtId="0" fontId="102" fillId="0" borderId="15" xfId="1" applyFont="1" applyBorder="1"/>
    <xf numFmtId="0" fontId="102" fillId="0" borderId="6" xfId="1" applyFont="1" applyBorder="1"/>
    <xf numFmtId="0" fontId="121" fillId="0" borderId="7" xfId="1" applyFont="1" applyBorder="1" applyAlignment="1">
      <alignment horizontal="center" vertical="center"/>
    </xf>
    <xf numFmtId="0" fontId="121" fillId="0" borderId="12" xfId="1" applyFont="1" applyBorder="1" applyAlignment="1">
      <alignment horizontal="center" vertical="center"/>
    </xf>
    <xf numFmtId="0" fontId="121" fillId="0" borderId="8" xfId="1" applyFont="1" applyBorder="1" applyAlignment="1">
      <alignment horizontal="center" vertical="center"/>
    </xf>
    <xf numFmtId="0" fontId="121" fillId="0" borderId="9" xfId="1" applyFont="1" applyBorder="1" applyAlignment="1">
      <alignment horizontal="center" vertical="center"/>
    </xf>
    <xf numFmtId="0" fontId="121" fillId="0" borderId="13" xfId="1" applyFont="1" applyBorder="1" applyAlignment="1">
      <alignment horizontal="center" vertical="center"/>
    </xf>
    <xf numFmtId="0" fontId="121" fillId="0" borderId="10" xfId="1" applyFont="1" applyBorder="1" applyAlignment="1">
      <alignment horizontal="center" vertical="center"/>
    </xf>
    <xf numFmtId="0" fontId="121" fillId="0" borderId="5" xfId="1" applyFont="1" applyBorder="1" applyAlignment="1">
      <alignment horizontal="center" vertical="center" wrapText="1"/>
    </xf>
    <xf numFmtId="0" fontId="121" fillId="0" borderId="15" xfId="1" applyFont="1" applyBorder="1" applyAlignment="1">
      <alignment horizontal="center" vertical="center" wrapText="1"/>
    </xf>
    <xf numFmtId="0" fontId="121" fillId="0" borderId="6" xfId="1" applyFont="1" applyBorder="1" applyAlignment="1">
      <alignment horizontal="center" vertical="center" wrapText="1"/>
    </xf>
    <xf numFmtId="49" fontId="153" fillId="0" borderId="0" xfId="5" applyNumberFormat="1" applyFont="1" applyBorder="1" applyAlignment="1">
      <alignment horizontal="left" vertical="center" wrapText="1"/>
    </xf>
    <xf numFmtId="0" fontId="121" fillId="0" borderId="0" xfId="1" applyFont="1" applyBorder="1" applyAlignment="1">
      <alignment horizontal="center" vertical="center" wrapText="1"/>
    </xf>
    <xf numFmtId="189" fontId="121" fillId="2" borderId="7" xfId="1" applyNumberFormat="1" applyFont="1" applyFill="1" applyBorder="1" applyAlignment="1">
      <alignment horizontal="center" vertical="center"/>
    </xf>
    <xf numFmtId="189" fontId="121" fillId="2" borderId="9" xfId="1" applyNumberFormat="1" applyFont="1" applyFill="1" applyBorder="1" applyAlignment="1">
      <alignment horizontal="center" vertical="center"/>
    </xf>
    <xf numFmtId="0" fontId="144" fillId="0" borderId="74" xfId="1" applyFont="1" applyBorder="1" applyAlignment="1">
      <alignment horizontal="center" vertical="center"/>
    </xf>
    <xf numFmtId="0" fontId="144" fillId="0" borderId="85" xfId="1" applyFont="1" applyBorder="1" applyAlignment="1">
      <alignment horizontal="center" vertical="center"/>
    </xf>
    <xf numFmtId="0" fontId="146" fillId="0" borderId="58" xfId="1" applyFont="1" applyBorder="1" applyAlignment="1">
      <alignment horizontal="center" vertical="center"/>
    </xf>
    <xf numFmtId="0" fontId="146" fillId="0" borderId="59" xfId="1" applyFont="1" applyBorder="1" applyAlignment="1">
      <alignment horizontal="center" vertical="center"/>
    </xf>
    <xf numFmtId="0" fontId="146" fillId="0" borderId="60" xfId="1" applyFont="1" applyBorder="1" applyAlignment="1">
      <alignment horizontal="center" vertical="center"/>
    </xf>
    <xf numFmtId="14" fontId="144" fillId="2" borderId="2" xfId="1" applyNumberFormat="1" applyFont="1" applyFill="1" applyBorder="1" applyAlignment="1">
      <alignment horizontal="center" vertical="center"/>
    </xf>
    <xf numFmtId="189" fontId="121" fillId="0" borderId="1" xfId="1" applyNumberFormat="1" applyFont="1" applyBorder="1" applyAlignment="1">
      <alignment horizontal="center" vertical="center" wrapText="1"/>
    </xf>
    <xf numFmtId="49" fontId="156" fillId="0" borderId="0" xfId="5" applyNumberFormat="1" applyFont="1" applyBorder="1" applyAlignment="1">
      <alignment horizontal="left" vertical="center" wrapText="1"/>
    </xf>
    <xf numFmtId="0" fontId="126" fillId="0" borderId="0" xfId="4" applyNumberFormat="1" applyFont="1" applyFill="1" applyBorder="1" applyAlignment="1">
      <alignment horizontal="left" vertical="center"/>
    </xf>
    <xf numFmtId="0" fontId="126" fillId="0" borderId="26" xfId="4" applyNumberFormat="1" applyFont="1" applyFill="1" applyBorder="1" applyAlignment="1">
      <alignment horizontal="left" vertical="center"/>
    </xf>
    <xf numFmtId="0" fontId="125" fillId="0" borderId="40" xfId="4" applyNumberFormat="1" applyFont="1" applyFill="1" applyBorder="1" applyAlignment="1">
      <alignment horizontal="center" vertical="center" shrinkToFit="1"/>
    </xf>
    <xf numFmtId="0" fontId="125" fillId="0" borderId="2" xfId="4" applyNumberFormat="1" applyFont="1" applyFill="1" applyBorder="1" applyAlignment="1">
      <alignment horizontal="center" vertical="center" shrinkToFit="1"/>
    </xf>
    <xf numFmtId="0" fontId="125" fillId="0" borderId="44" xfId="4" applyNumberFormat="1" applyFont="1" applyFill="1" applyBorder="1" applyAlignment="1">
      <alignment horizontal="center" vertical="center" shrinkToFit="1"/>
    </xf>
    <xf numFmtId="0" fontId="125" fillId="0" borderId="29" xfId="4" applyNumberFormat="1" applyFont="1" applyFill="1" applyBorder="1" applyAlignment="1">
      <alignment horizontal="center" vertical="center" shrinkToFit="1"/>
    </xf>
    <xf numFmtId="0" fontId="129" fillId="2" borderId="37" xfId="4" applyNumberFormat="1" applyFont="1" applyFill="1" applyBorder="1" applyAlignment="1">
      <alignment horizontal="center" vertical="center" shrinkToFit="1"/>
    </xf>
    <xf numFmtId="0" fontId="129" fillId="2" borderId="38" xfId="4" applyNumberFormat="1" applyFont="1" applyFill="1" applyBorder="1" applyAlignment="1">
      <alignment horizontal="center" vertical="center" shrinkToFit="1"/>
    </xf>
    <xf numFmtId="180" fontId="107" fillId="2" borderId="1" xfId="4" quotePrefix="1" applyNumberFormat="1" applyFont="1" applyFill="1" applyBorder="1" applyAlignment="1">
      <alignment horizontal="center" vertical="center"/>
    </xf>
    <xf numFmtId="180" fontId="107" fillId="2" borderId="3" xfId="4" applyNumberFormat="1" applyFont="1" applyFill="1" applyBorder="1" applyAlignment="1">
      <alignment horizontal="center" vertical="center"/>
    </xf>
    <xf numFmtId="180" fontId="107" fillId="2" borderId="4" xfId="4" applyNumberFormat="1" applyFont="1" applyFill="1" applyBorder="1" applyAlignment="1">
      <alignment horizontal="center" vertical="center"/>
    </xf>
    <xf numFmtId="0" fontId="107" fillId="2" borderId="2" xfId="4" applyNumberFormat="1" applyFont="1" applyFill="1" applyBorder="1" applyAlignment="1">
      <alignment horizontal="center" vertical="center"/>
    </xf>
    <xf numFmtId="0" fontId="107" fillId="9" borderId="2" xfId="5" applyFont="1" applyFill="1" applyBorder="1" applyAlignment="1">
      <alignment horizontal="center" vertical="center"/>
    </xf>
    <xf numFmtId="49" fontId="107" fillId="9" borderId="2" xfId="5" applyNumberFormat="1" applyFont="1" applyFill="1" applyBorder="1" applyAlignment="1">
      <alignment horizontal="center" vertical="center"/>
    </xf>
    <xf numFmtId="189" fontId="107" fillId="9" borderId="2" xfId="5" applyNumberFormat="1" applyFont="1" applyFill="1" applyBorder="1" applyAlignment="1">
      <alignment horizontal="center" vertical="center"/>
    </xf>
    <xf numFmtId="189" fontId="107" fillId="0" borderId="0" xfId="5" applyNumberFormat="1" applyFont="1" applyAlignment="1">
      <alignment horizontal="center" vertical="center"/>
    </xf>
  </cellXfs>
  <cellStyles count="12">
    <cellStyle name="백분율" xfId="9" builtinId="5"/>
    <cellStyle name="백분율 2" xfId="2"/>
    <cellStyle name="쉼표 [0]" xfId="6" builtinId="6"/>
    <cellStyle name="쉼표 [0] 2" xfId="4"/>
    <cellStyle name="쉼표 [0] 2 2 4" xfId="11"/>
    <cellStyle name="표준" xfId="0" builtinId="0"/>
    <cellStyle name="표준 2" xfId="1"/>
    <cellStyle name="표준 3" xfId="3"/>
    <cellStyle name="표준 4" xfId="8"/>
    <cellStyle name="표준 5" xfId="7"/>
    <cellStyle name="표준_15_도로설계실적현황관리(수성+용마)" xfId="5"/>
    <cellStyle name="하이퍼링크" xfId="10" builtinId="8"/>
  </cellStyles>
  <dxfs count="14"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0000FF"/>
      <color rgb="FFFFCC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4</xdr:row>
      <xdr:rowOff>47625</xdr:rowOff>
    </xdr:from>
    <xdr:to>
      <xdr:col>1</xdr:col>
      <xdr:colOff>0</xdr:colOff>
      <xdr:row>4</xdr:row>
      <xdr:rowOff>285750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333375" y="2495550"/>
          <a:ext cx="428625" cy="238125"/>
        </a:xfrm>
        <a:prstGeom prst="rect">
          <a:avLst/>
        </a:prstGeom>
        <a:solidFill>
          <a:srgbClr val="92D05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333375</xdr:colOff>
      <xdr:row>5</xdr:row>
      <xdr:rowOff>47625</xdr:rowOff>
    </xdr:from>
    <xdr:to>
      <xdr:col>1</xdr:col>
      <xdr:colOff>0</xdr:colOff>
      <xdr:row>5</xdr:row>
      <xdr:rowOff>285750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333375" y="2838450"/>
          <a:ext cx="428625" cy="23812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133350</xdr:colOff>
      <xdr:row>4</xdr:row>
      <xdr:rowOff>47625</xdr:rowOff>
    </xdr:from>
    <xdr:to>
      <xdr:col>1</xdr:col>
      <xdr:colOff>704850</xdr:colOff>
      <xdr:row>4</xdr:row>
      <xdr:rowOff>285750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1190625" y="2771775"/>
          <a:ext cx="571500" cy="238125"/>
        </a:xfrm>
        <a:prstGeom prst="rect">
          <a:avLst/>
        </a:prstGeom>
        <a:solidFill>
          <a:srgbClr val="7030A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200025</xdr:colOff>
      <xdr:row>1</xdr:row>
      <xdr:rowOff>95250</xdr:rowOff>
    </xdr:from>
    <xdr:to>
      <xdr:col>15</xdr:col>
      <xdr:colOff>38100</xdr:colOff>
      <xdr:row>9</xdr:row>
      <xdr:rowOff>123825</xdr:rowOff>
    </xdr:to>
    <xdr:sp macro="" textlink="">
      <xdr:nvSpPr>
        <xdr:cNvPr id="2" name="TextBox 1"/>
        <xdr:cNvSpPr txBox="1"/>
      </xdr:nvSpPr>
      <xdr:spPr>
        <a:xfrm>
          <a:off x="13220700" y="714375"/>
          <a:ext cx="2943225" cy="2085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ko-KR" sz="1100" b="1">
              <a:solidFill>
                <a:srgbClr val="FF0000"/>
              </a:solidFill>
            </a:rPr>
            <a:t>※ </a:t>
          </a:r>
          <a:r>
            <a:rPr lang="ko-KR" altLang="en-US" sz="1100" b="1">
              <a:solidFill>
                <a:srgbClr val="FF0000"/>
              </a:solidFill>
            </a:rPr>
            <a:t>해당 양식은 참고사항입니다</a:t>
          </a:r>
          <a:r>
            <a:rPr lang="en-US" altLang="ko-KR" sz="1100" b="1">
              <a:solidFill>
                <a:srgbClr val="FF0000"/>
              </a:solidFill>
            </a:rPr>
            <a:t>.</a:t>
          </a:r>
        </a:p>
        <a:p>
          <a:endParaRPr lang="en-US" altLang="ko-KR" sz="1100" b="1">
            <a:solidFill>
              <a:srgbClr val="FF0000"/>
            </a:solidFill>
          </a:endParaRPr>
        </a:p>
        <a:p>
          <a:r>
            <a:rPr lang="ko-KR" altLang="en-US" sz="1100" b="1">
              <a:solidFill>
                <a:srgbClr val="FF0000"/>
              </a:solidFill>
            </a:rPr>
            <a:t>배점 및 산정에 대한 방식은 필히 당해용역</a:t>
          </a:r>
          <a:endParaRPr lang="en-US" altLang="ko-KR" sz="1100" b="1">
            <a:solidFill>
              <a:srgbClr val="FF0000"/>
            </a:solidFill>
          </a:endParaRPr>
        </a:p>
        <a:p>
          <a:r>
            <a:rPr lang="ko-KR" altLang="en-US" sz="1100" b="1">
              <a:solidFill>
                <a:srgbClr val="FF0000"/>
              </a:solidFill>
            </a:rPr>
            <a:t> </a:t>
          </a:r>
          <a:endParaRPr lang="en-US" altLang="ko-KR" sz="1100" b="1">
            <a:solidFill>
              <a:srgbClr val="FF0000"/>
            </a:solidFill>
          </a:endParaRPr>
        </a:p>
        <a:p>
          <a:r>
            <a:rPr lang="ko-KR" altLang="en-US" sz="1100" b="1">
              <a:solidFill>
                <a:srgbClr val="FF0000"/>
              </a:solidFill>
            </a:rPr>
            <a:t>지침 및 지침안내서를 참고해주시기 바라며 </a:t>
          </a:r>
          <a:endParaRPr lang="en-US" altLang="ko-KR" sz="1100" b="1">
            <a:solidFill>
              <a:srgbClr val="FF0000"/>
            </a:solidFill>
          </a:endParaRPr>
        </a:p>
        <a:p>
          <a:endParaRPr lang="en-US" altLang="ko-KR" sz="1100" b="1">
            <a:solidFill>
              <a:srgbClr val="FF0000"/>
            </a:solidFill>
          </a:endParaRPr>
        </a:p>
        <a:p>
          <a:r>
            <a:rPr lang="ko-KR" altLang="en-US" sz="1100" b="1">
              <a:solidFill>
                <a:srgbClr val="FF0000"/>
              </a:solidFill>
            </a:rPr>
            <a:t>점수를 확인하셔야합니다</a:t>
          </a:r>
          <a:r>
            <a:rPr lang="en-US" altLang="ko-KR" sz="1100"/>
            <a:t>.</a:t>
          </a:r>
        </a:p>
        <a:p>
          <a:r>
            <a:rPr lang="ko-KR" altLang="en-US" sz="1100"/>
            <a:t> </a:t>
          </a:r>
          <a:endParaRPr lang="en-US" altLang="ko-K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0</xdr:row>
      <xdr:rowOff>19050</xdr:rowOff>
    </xdr:from>
    <xdr:to>
      <xdr:col>13</xdr:col>
      <xdr:colOff>1647825</xdr:colOff>
      <xdr:row>1</xdr:row>
      <xdr:rowOff>133350</xdr:rowOff>
    </xdr:to>
    <xdr:sp macro="" textlink="">
      <xdr:nvSpPr>
        <xdr:cNvPr id="2" name="TextBox 1"/>
        <xdr:cNvSpPr txBox="1"/>
      </xdr:nvSpPr>
      <xdr:spPr>
        <a:xfrm>
          <a:off x="11830050" y="19050"/>
          <a:ext cx="1628775" cy="314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ko-KR" sz="1100">
              <a:solidFill>
                <a:srgbClr val="FF0000"/>
              </a:solidFill>
            </a:rPr>
            <a:t>-</a:t>
          </a:r>
          <a:r>
            <a:rPr lang="en-US" altLang="ko-KR" sz="1100" baseline="0">
              <a:solidFill>
                <a:srgbClr val="FF0000"/>
              </a:solidFill>
            </a:rPr>
            <a:t> </a:t>
          </a:r>
          <a:r>
            <a:rPr lang="ko-KR" altLang="en-US" sz="1100" baseline="0">
              <a:solidFill>
                <a:srgbClr val="FF0000"/>
              </a:solidFill>
            </a:rPr>
            <a:t>교육시간은 수기입력</a:t>
          </a:r>
          <a:endParaRPr lang="ko-KR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lee@naver.com" TargetMode="External"/><Relationship Id="rId1" Type="http://schemas.openxmlformats.org/officeDocument/2006/relationships/hyperlink" Target="mailto:hong@naver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  <pageSetUpPr fitToPage="1"/>
  </sheetPr>
  <dimension ref="A1:R14"/>
  <sheetViews>
    <sheetView showGridLines="0" view="pageBreakPreview" zoomScale="98" zoomScaleNormal="100" zoomScaleSheetLayoutView="98" workbookViewId="0">
      <selection activeCell="C18" sqref="C18"/>
    </sheetView>
  </sheetViews>
  <sheetFormatPr defaultRowHeight="13.5"/>
  <cols>
    <col min="1" max="1" width="6.625" style="44" customWidth="1"/>
    <col min="2" max="2" width="26.125" style="23" customWidth="1"/>
    <col min="3" max="3" width="11.75" style="23" bestFit="1" customWidth="1"/>
    <col min="4" max="4" width="9" style="106" customWidth="1"/>
    <col min="5" max="5" width="17.25" style="106" hidden="1" customWidth="1"/>
    <col min="6" max="6" width="7.75" style="100" hidden="1" customWidth="1"/>
    <col min="7" max="7" width="13.875" style="101" hidden="1" customWidth="1"/>
    <col min="8" max="13" width="9.875" style="23" customWidth="1"/>
    <col min="14" max="14" width="9.625" style="23" bestFit="1" customWidth="1"/>
    <col min="15" max="16" width="9.875" style="23" customWidth="1"/>
    <col min="17" max="18" width="14.375" style="23" customWidth="1"/>
    <col min="19" max="16384" width="9" style="23"/>
  </cols>
  <sheetData>
    <row r="1" spans="1:18" ht="45" customHeight="1" thickBot="1">
      <c r="A1" s="727">
        <f>참여신청서!C16</f>
        <v>0</v>
      </c>
      <c r="B1" s="727"/>
      <c r="C1" s="727"/>
      <c r="D1" s="727"/>
      <c r="E1" s="727"/>
      <c r="F1" s="727"/>
      <c r="G1" s="727"/>
      <c r="H1" s="727"/>
      <c r="I1" s="727"/>
      <c r="J1" s="727"/>
      <c r="K1" s="727"/>
      <c r="L1" s="727"/>
      <c r="M1" s="727"/>
      <c r="N1" s="727"/>
      <c r="O1" s="727"/>
      <c r="P1" s="727"/>
      <c r="Q1" s="727"/>
      <c r="R1" s="727"/>
    </row>
    <row r="2" spans="1:18" ht="30.75" customHeight="1">
      <c r="A2" s="723" t="s">
        <v>385</v>
      </c>
      <c r="B2" s="725" t="s">
        <v>386</v>
      </c>
      <c r="C2" s="725" t="s">
        <v>387</v>
      </c>
      <c r="D2" s="725" t="s">
        <v>388</v>
      </c>
      <c r="E2" s="501"/>
      <c r="F2" s="502"/>
      <c r="G2" s="503"/>
      <c r="H2" s="730" t="s">
        <v>446</v>
      </c>
      <c r="I2" s="730"/>
      <c r="J2" s="730"/>
      <c r="K2" s="730"/>
      <c r="L2" s="730"/>
      <c r="M2" s="730"/>
      <c r="N2" s="730" t="s">
        <v>447</v>
      </c>
      <c r="O2" s="730"/>
      <c r="P2" s="730"/>
      <c r="Q2" s="731" t="s">
        <v>396</v>
      </c>
      <c r="R2" s="728" t="s">
        <v>384</v>
      </c>
    </row>
    <row r="3" spans="1:18" s="18" customFormat="1" ht="49.5" customHeight="1">
      <c r="A3" s="724"/>
      <c r="B3" s="726"/>
      <c r="C3" s="726"/>
      <c r="D3" s="726"/>
      <c r="E3" s="102" t="s">
        <v>389</v>
      </c>
      <c r="F3" s="103" t="s">
        <v>390</v>
      </c>
      <c r="G3" s="104" t="s">
        <v>391</v>
      </c>
      <c r="H3" s="465" t="s">
        <v>392</v>
      </c>
      <c r="I3" s="465" t="s">
        <v>393</v>
      </c>
      <c r="J3" s="466" t="s">
        <v>394</v>
      </c>
      <c r="K3" s="466" t="s">
        <v>475</v>
      </c>
      <c r="L3" s="465" t="s">
        <v>449</v>
      </c>
      <c r="M3" s="465" t="s">
        <v>395</v>
      </c>
      <c r="N3" s="465" t="s">
        <v>448</v>
      </c>
      <c r="O3" s="465" t="s">
        <v>476</v>
      </c>
      <c r="P3" s="466" t="s">
        <v>474</v>
      </c>
      <c r="Q3" s="732"/>
      <c r="R3" s="729"/>
    </row>
    <row r="4" spans="1:18" s="18" customFormat="1" ht="15.75" customHeight="1">
      <c r="A4" s="724"/>
      <c r="B4" s="726"/>
      <c r="C4" s="102" t="s">
        <v>397</v>
      </c>
      <c r="D4" s="726"/>
      <c r="E4" s="102"/>
      <c r="F4" s="103"/>
      <c r="G4" s="104"/>
      <c r="H4" s="465">
        <v>20</v>
      </c>
      <c r="I4" s="465">
        <v>50</v>
      </c>
      <c r="J4" s="466">
        <v>30</v>
      </c>
      <c r="K4" s="466">
        <v>-6</v>
      </c>
      <c r="L4" s="466">
        <v>100</v>
      </c>
      <c r="M4" s="466" t="s">
        <v>471</v>
      </c>
      <c r="N4" s="466">
        <v>10</v>
      </c>
      <c r="O4" s="465">
        <v>45</v>
      </c>
      <c r="P4" s="466"/>
      <c r="Q4" s="465">
        <v>55</v>
      </c>
      <c r="R4" s="504"/>
    </row>
    <row r="5" spans="1:18" s="105" customFormat="1" ht="57.75" customHeight="1" thickBot="1">
      <c r="A5" s="505">
        <v>1</v>
      </c>
      <c r="B5" s="506" t="str">
        <f>참여업체!C5</f>
        <v>A</v>
      </c>
      <c r="C5" s="506" t="str">
        <f>참여업체!E4</f>
        <v>123-45-67890</v>
      </c>
      <c r="D5" s="506" t="str">
        <f>참여업체!G4</f>
        <v>김철수</v>
      </c>
      <c r="E5" s="506"/>
      <c r="F5" s="506"/>
      <c r="G5" s="506"/>
      <c r="H5" s="507">
        <f>'자기평가서-기술적이행능력평가(1단계)'!I24</f>
        <v>20</v>
      </c>
      <c r="I5" s="508">
        <f>'자기평가서-기술적이행능력평가(1단계)'!I31</f>
        <v>35</v>
      </c>
      <c r="J5" s="509">
        <f>'자기평가서-기술적이행능력평가(1단계)'!I34</f>
        <v>30</v>
      </c>
      <c r="K5" s="509">
        <f>'자기평가서-기술적이행능력평가(1단계)'!I35</f>
        <v>0</v>
      </c>
      <c r="L5" s="510">
        <f>'자기평가서-기술적이행능력평가(1단계)'!I36</f>
        <v>98</v>
      </c>
      <c r="M5" s="509" t="s">
        <v>472</v>
      </c>
      <c r="N5" s="510">
        <f>'자기평가서(2단계-종합기술제안서 정량평가)'!J10</f>
        <v>5.6876533333333334</v>
      </c>
      <c r="O5" s="510">
        <f>'자기평가서(2단계-종합기술제안서 정량평가)'!J38</f>
        <v>20.160000000000004</v>
      </c>
      <c r="P5" s="508">
        <f>'자기평가서(2단계-종합기술제안서 정량평가)'!J56</f>
        <v>1.7999999999999998</v>
      </c>
      <c r="Q5" s="511">
        <f>SUM(N5:P5)</f>
        <v>27.647653333333338</v>
      </c>
      <c r="R5" s="512">
        <f>'자기평가서(2단계-종합기술제안서 정량평가)'!I7</f>
        <v>33.200000000000003</v>
      </c>
    </row>
    <row r="6" spans="1:18" ht="57.75" customHeight="1">
      <c r="G6" s="107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</row>
    <row r="7" spans="1:18">
      <c r="G7" s="107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</row>
    <row r="8" spans="1:18">
      <c r="G8" s="107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</row>
    <row r="9" spans="1:18">
      <c r="G9" s="107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</row>
    <row r="10" spans="1:18" ht="25.5">
      <c r="B10" s="110" t="s">
        <v>400</v>
      </c>
      <c r="G10" s="107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</row>
    <row r="11" spans="1:18">
      <c r="G11" s="107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</row>
    <row r="12" spans="1:18">
      <c r="G12" s="108"/>
    </row>
    <row r="13" spans="1:18">
      <c r="G13" s="108"/>
    </row>
    <row r="14" spans="1:18">
      <c r="G14" s="108"/>
    </row>
  </sheetData>
  <autoFilter ref="A4:R4">
    <sortState ref="A7:X7">
      <sortCondition descending="1" ref="R4"/>
    </sortState>
  </autoFilter>
  <mergeCells count="9">
    <mergeCell ref="A2:A4"/>
    <mergeCell ref="B2:B4"/>
    <mergeCell ref="D2:D4"/>
    <mergeCell ref="A1:R1"/>
    <mergeCell ref="R2:R3"/>
    <mergeCell ref="N2:P2"/>
    <mergeCell ref="H2:M2"/>
    <mergeCell ref="C2:C3"/>
    <mergeCell ref="Q2:Q3"/>
  </mergeCells>
  <phoneticPr fontId="2" type="noConversion"/>
  <pageMargins left="1.1811023622047245" right="0.39370078740157483" top="0.74803149606299213" bottom="0.74803149606299213" header="0.31496062992125984" footer="0.31496062992125984"/>
  <pageSetup paperSize="9" scale="70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T1206"/>
  <sheetViews>
    <sheetView showGridLines="0" view="pageBreakPreview" zoomScale="85" zoomScaleNormal="85" zoomScaleSheetLayoutView="85" workbookViewId="0">
      <pane xSplit="4" ySplit="11" topLeftCell="E12" activePane="bottomRight" state="frozen"/>
      <selection pane="topRight" activeCell="E1" sqref="E1"/>
      <selection pane="bottomLeft" activeCell="A12" sqref="A12"/>
      <selection pane="bottomRight" activeCell="J15" sqref="J15"/>
    </sheetView>
  </sheetViews>
  <sheetFormatPr defaultRowHeight="12" customHeight="1"/>
  <cols>
    <col min="1" max="1" width="9.625" style="276" customWidth="1"/>
    <col min="2" max="2" width="10.25" style="277" customWidth="1"/>
    <col min="3" max="3" width="24" style="277" customWidth="1"/>
    <col min="4" max="4" width="29.375" style="277" customWidth="1"/>
    <col min="5" max="5" width="12.875" style="278" customWidth="1"/>
    <col min="6" max="6" width="12.875" style="279" customWidth="1"/>
    <col min="7" max="7" width="11.625" style="253" bestFit="1" customWidth="1"/>
    <col min="8" max="8" width="17.375" style="253" customWidth="1"/>
    <col min="9" max="9" width="12" style="253" bestFit="1" customWidth="1"/>
    <col min="10" max="10" width="16.125" style="253" bestFit="1" customWidth="1"/>
    <col min="11" max="11" width="19" style="253" customWidth="1"/>
    <col min="12" max="12" width="13.25" style="279" customWidth="1"/>
    <col min="13" max="13" width="11.5" style="264" bestFit="1" customWidth="1"/>
    <col min="14" max="14" width="17" style="223" bestFit="1" customWidth="1"/>
    <col min="15" max="256" width="9" style="223"/>
    <col min="257" max="257" width="9.625" style="223" customWidth="1"/>
    <col min="258" max="258" width="10.25" style="223" customWidth="1"/>
    <col min="259" max="259" width="18.125" style="223" customWidth="1"/>
    <col min="260" max="260" width="14.125" style="223" customWidth="1"/>
    <col min="261" max="262" width="12.875" style="223" customWidth="1"/>
    <col min="263" max="263" width="10.25" style="223" bestFit="1" customWidth="1"/>
    <col min="264" max="264" width="15.5" style="223" customWidth="1"/>
    <col min="265" max="265" width="12" style="223" bestFit="1" customWidth="1"/>
    <col min="266" max="267" width="11.75" style="223" customWidth="1"/>
    <col min="268" max="268" width="13.25" style="223" customWidth="1"/>
    <col min="269" max="269" width="11.5" style="223" bestFit="1" customWidth="1"/>
    <col min="270" max="270" width="17" style="223" bestFit="1" customWidth="1"/>
    <col min="271" max="512" width="9" style="223"/>
    <col min="513" max="513" width="9.625" style="223" customWidth="1"/>
    <col min="514" max="514" width="10.25" style="223" customWidth="1"/>
    <col min="515" max="515" width="18.125" style="223" customWidth="1"/>
    <col min="516" max="516" width="14.125" style="223" customWidth="1"/>
    <col min="517" max="518" width="12.875" style="223" customWidth="1"/>
    <col min="519" max="519" width="10.25" style="223" bestFit="1" customWidth="1"/>
    <col min="520" max="520" width="15.5" style="223" customWidth="1"/>
    <col min="521" max="521" width="12" style="223" bestFit="1" customWidth="1"/>
    <col min="522" max="523" width="11.75" style="223" customWidth="1"/>
    <col min="524" max="524" width="13.25" style="223" customWidth="1"/>
    <col min="525" max="525" width="11.5" style="223" bestFit="1" customWidth="1"/>
    <col min="526" max="526" width="17" style="223" bestFit="1" customWidth="1"/>
    <col min="527" max="768" width="9" style="223"/>
    <col min="769" max="769" width="9.625" style="223" customWidth="1"/>
    <col min="770" max="770" width="10.25" style="223" customWidth="1"/>
    <col min="771" max="771" width="18.125" style="223" customWidth="1"/>
    <col min="772" max="772" width="14.125" style="223" customWidth="1"/>
    <col min="773" max="774" width="12.875" style="223" customWidth="1"/>
    <col min="775" max="775" width="10.25" style="223" bestFit="1" customWidth="1"/>
    <col min="776" max="776" width="15.5" style="223" customWidth="1"/>
    <col min="777" max="777" width="12" style="223" bestFit="1" customWidth="1"/>
    <col min="778" max="779" width="11.75" style="223" customWidth="1"/>
    <col min="780" max="780" width="13.25" style="223" customWidth="1"/>
    <col min="781" max="781" width="11.5" style="223" bestFit="1" customWidth="1"/>
    <col min="782" max="782" width="17" style="223" bestFit="1" customWidth="1"/>
    <col min="783" max="1024" width="9" style="223"/>
    <col min="1025" max="1025" width="9.625" style="223" customWidth="1"/>
    <col min="1026" max="1026" width="10.25" style="223" customWidth="1"/>
    <col min="1027" max="1027" width="18.125" style="223" customWidth="1"/>
    <col min="1028" max="1028" width="14.125" style="223" customWidth="1"/>
    <col min="1029" max="1030" width="12.875" style="223" customWidth="1"/>
    <col min="1031" max="1031" width="10.25" style="223" bestFit="1" customWidth="1"/>
    <col min="1032" max="1032" width="15.5" style="223" customWidth="1"/>
    <col min="1033" max="1033" width="12" style="223" bestFit="1" customWidth="1"/>
    <col min="1034" max="1035" width="11.75" style="223" customWidth="1"/>
    <col min="1036" max="1036" width="13.25" style="223" customWidth="1"/>
    <col min="1037" max="1037" width="11.5" style="223" bestFit="1" customWidth="1"/>
    <col min="1038" max="1038" width="17" style="223" bestFit="1" customWidth="1"/>
    <col min="1039" max="1280" width="9" style="223"/>
    <col min="1281" max="1281" width="9.625" style="223" customWidth="1"/>
    <col min="1282" max="1282" width="10.25" style="223" customWidth="1"/>
    <col min="1283" max="1283" width="18.125" style="223" customWidth="1"/>
    <col min="1284" max="1284" width="14.125" style="223" customWidth="1"/>
    <col min="1285" max="1286" width="12.875" style="223" customWidth="1"/>
    <col min="1287" max="1287" width="10.25" style="223" bestFit="1" customWidth="1"/>
    <col min="1288" max="1288" width="15.5" style="223" customWidth="1"/>
    <col min="1289" max="1289" width="12" style="223" bestFit="1" customWidth="1"/>
    <col min="1290" max="1291" width="11.75" style="223" customWidth="1"/>
    <col min="1292" max="1292" width="13.25" style="223" customWidth="1"/>
    <col min="1293" max="1293" width="11.5" style="223" bestFit="1" customWidth="1"/>
    <col min="1294" max="1294" width="17" style="223" bestFit="1" customWidth="1"/>
    <col min="1295" max="1536" width="9" style="223"/>
    <col min="1537" max="1537" width="9.625" style="223" customWidth="1"/>
    <col min="1538" max="1538" width="10.25" style="223" customWidth="1"/>
    <col min="1539" max="1539" width="18.125" style="223" customWidth="1"/>
    <col min="1540" max="1540" width="14.125" style="223" customWidth="1"/>
    <col min="1541" max="1542" width="12.875" style="223" customWidth="1"/>
    <col min="1543" max="1543" width="10.25" style="223" bestFit="1" customWidth="1"/>
    <col min="1544" max="1544" width="15.5" style="223" customWidth="1"/>
    <col min="1545" max="1545" width="12" style="223" bestFit="1" customWidth="1"/>
    <col min="1546" max="1547" width="11.75" style="223" customWidth="1"/>
    <col min="1548" max="1548" width="13.25" style="223" customWidth="1"/>
    <col min="1549" max="1549" width="11.5" style="223" bestFit="1" customWidth="1"/>
    <col min="1550" max="1550" width="17" style="223" bestFit="1" customWidth="1"/>
    <col min="1551" max="1792" width="9" style="223"/>
    <col min="1793" max="1793" width="9.625" style="223" customWidth="1"/>
    <col min="1794" max="1794" width="10.25" style="223" customWidth="1"/>
    <col min="1795" max="1795" width="18.125" style="223" customWidth="1"/>
    <col min="1796" max="1796" width="14.125" style="223" customWidth="1"/>
    <col min="1797" max="1798" width="12.875" style="223" customWidth="1"/>
    <col min="1799" max="1799" width="10.25" style="223" bestFit="1" customWidth="1"/>
    <col min="1800" max="1800" width="15.5" style="223" customWidth="1"/>
    <col min="1801" max="1801" width="12" style="223" bestFit="1" customWidth="1"/>
    <col min="1802" max="1803" width="11.75" style="223" customWidth="1"/>
    <col min="1804" max="1804" width="13.25" style="223" customWidth="1"/>
    <col min="1805" max="1805" width="11.5" style="223" bestFit="1" customWidth="1"/>
    <col min="1806" max="1806" width="17" style="223" bestFit="1" customWidth="1"/>
    <col min="1807" max="2048" width="9" style="223"/>
    <col min="2049" max="2049" width="9.625" style="223" customWidth="1"/>
    <col min="2050" max="2050" width="10.25" style="223" customWidth="1"/>
    <col min="2051" max="2051" width="18.125" style="223" customWidth="1"/>
    <col min="2052" max="2052" width="14.125" style="223" customWidth="1"/>
    <col min="2053" max="2054" width="12.875" style="223" customWidth="1"/>
    <col min="2055" max="2055" width="10.25" style="223" bestFit="1" customWidth="1"/>
    <col min="2056" max="2056" width="15.5" style="223" customWidth="1"/>
    <col min="2057" max="2057" width="12" style="223" bestFit="1" customWidth="1"/>
    <col min="2058" max="2059" width="11.75" style="223" customWidth="1"/>
    <col min="2060" max="2060" width="13.25" style="223" customWidth="1"/>
    <col min="2061" max="2061" width="11.5" style="223" bestFit="1" customWidth="1"/>
    <col min="2062" max="2062" width="17" style="223" bestFit="1" customWidth="1"/>
    <col min="2063" max="2304" width="9" style="223"/>
    <col min="2305" max="2305" width="9.625" style="223" customWidth="1"/>
    <col min="2306" max="2306" width="10.25" style="223" customWidth="1"/>
    <col min="2307" max="2307" width="18.125" style="223" customWidth="1"/>
    <col min="2308" max="2308" width="14.125" style="223" customWidth="1"/>
    <col min="2309" max="2310" width="12.875" style="223" customWidth="1"/>
    <col min="2311" max="2311" width="10.25" style="223" bestFit="1" customWidth="1"/>
    <col min="2312" max="2312" width="15.5" style="223" customWidth="1"/>
    <col min="2313" max="2313" width="12" style="223" bestFit="1" customWidth="1"/>
    <col min="2314" max="2315" width="11.75" style="223" customWidth="1"/>
    <col min="2316" max="2316" width="13.25" style="223" customWidth="1"/>
    <col min="2317" max="2317" width="11.5" style="223" bestFit="1" customWidth="1"/>
    <col min="2318" max="2318" width="17" style="223" bestFit="1" customWidth="1"/>
    <col min="2319" max="2560" width="9" style="223"/>
    <col min="2561" max="2561" width="9.625" style="223" customWidth="1"/>
    <col min="2562" max="2562" width="10.25" style="223" customWidth="1"/>
    <col min="2563" max="2563" width="18.125" style="223" customWidth="1"/>
    <col min="2564" max="2564" width="14.125" style="223" customWidth="1"/>
    <col min="2565" max="2566" width="12.875" style="223" customWidth="1"/>
    <col min="2567" max="2567" width="10.25" style="223" bestFit="1" customWidth="1"/>
    <col min="2568" max="2568" width="15.5" style="223" customWidth="1"/>
    <col min="2569" max="2569" width="12" style="223" bestFit="1" customWidth="1"/>
    <col min="2570" max="2571" width="11.75" style="223" customWidth="1"/>
    <col min="2572" max="2572" width="13.25" style="223" customWidth="1"/>
    <col min="2573" max="2573" width="11.5" style="223" bestFit="1" customWidth="1"/>
    <col min="2574" max="2574" width="17" style="223" bestFit="1" customWidth="1"/>
    <col min="2575" max="2816" width="9" style="223"/>
    <col min="2817" max="2817" width="9.625" style="223" customWidth="1"/>
    <col min="2818" max="2818" width="10.25" style="223" customWidth="1"/>
    <col min="2819" max="2819" width="18.125" style="223" customWidth="1"/>
    <col min="2820" max="2820" width="14.125" style="223" customWidth="1"/>
    <col min="2821" max="2822" width="12.875" style="223" customWidth="1"/>
    <col min="2823" max="2823" width="10.25" style="223" bestFit="1" customWidth="1"/>
    <col min="2824" max="2824" width="15.5" style="223" customWidth="1"/>
    <col min="2825" max="2825" width="12" style="223" bestFit="1" customWidth="1"/>
    <col min="2826" max="2827" width="11.75" style="223" customWidth="1"/>
    <col min="2828" max="2828" width="13.25" style="223" customWidth="1"/>
    <col min="2829" max="2829" width="11.5" style="223" bestFit="1" customWidth="1"/>
    <col min="2830" max="2830" width="17" style="223" bestFit="1" customWidth="1"/>
    <col min="2831" max="3072" width="9" style="223"/>
    <col min="3073" max="3073" width="9.625" style="223" customWidth="1"/>
    <col min="3074" max="3074" width="10.25" style="223" customWidth="1"/>
    <col min="3075" max="3075" width="18.125" style="223" customWidth="1"/>
    <col min="3076" max="3076" width="14.125" style="223" customWidth="1"/>
    <col min="3077" max="3078" width="12.875" style="223" customWidth="1"/>
    <col min="3079" max="3079" width="10.25" style="223" bestFit="1" customWidth="1"/>
    <col min="3080" max="3080" width="15.5" style="223" customWidth="1"/>
    <col min="3081" max="3081" width="12" style="223" bestFit="1" customWidth="1"/>
    <col min="3082" max="3083" width="11.75" style="223" customWidth="1"/>
    <col min="3084" max="3084" width="13.25" style="223" customWidth="1"/>
    <col min="3085" max="3085" width="11.5" style="223" bestFit="1" customWidth="1"/>
    <col min="3086" max="3086" width="17" style="223" bestFit="1" customWidth="1"/>
    <col min="3087" max="3328" width="9" style="223"/>
    <col min="3329" max="3329" width="9.625" style="223" customWidth="1"/>
    <col min="3330" max="3330" width="10.25" style="223" customWidth="1"/>
    <col min="3331" max="3331" width="18.125" style="223" customWidth="1"/>
    <col min="3332" max="3332" width="14.125" style="223" customWidth="1"/>
    <col min="3333" max="3334" width="12.875" style="223" customWidth="1"/>
    <col min="3335" max="3335" width="10.25" style="223" bestFit="1" customWidth="1"/>
    <col min="3336" max="3336" width="15.5" style="223" customWidth="1"/>
    <col min="3337" max="3337" width="12" style="223" bestFit="1" customWidth="1"/>
    <col min="3338" max="3339" width="11.75" style="223" customWidth="1"/>
    <col min="3340" max="3340" width="13.25" style="223" customWidth="1"/>
    <col min="3341" max="3341" width="11.5" style="223" bestFit="1" customWidth="1"/>
    <col min="3342" max="3342" width="17" style="223" bestFit="1" customWidth="1"/>
    <col min="3343" max="3584" width="9" style="223"/>
    <col min="3585" max="3585" width="9.625" style="223" customWidth="1"/>
    <col min="3586" max="3586" width="10.25" style="223" customWidth="1"/>
    <col min="3587" max="3587" width="18.125" style="223" customWidth="1"/>
    <col min="3588" max="3588" width="14.125" style="223" customWidth="1"/>
    <col min="3589" max="3590" width="12.875" style="223" customWidth="1"/>
    <col min="3591" max="3591" width="10.25" style="223" bestFit="1" customWidth="1"/>
    <col min="3592" max="3592" width="15.5" style="223" customWidth="1"/>
    <col min="3593" max="3593" width="12" style="223" bestFit="1" customWidth="1"/>
    <col min="3594" max="3595" width="11.75" style="223" customWidth="1"/>
    <col min="3596" max="3596" width="13.25" style="223" customWidth="1"/>
    <col min="3597" max="3597" width="11.5" style="223" bestFit="1" customWidth="1"/>
    <col min="3598" max="3598" width="17" style="223" bestFit="1" customWidth="1"/>
    <col min="3599" max="3840" width="9" style="223"/>
    <col min="3841" max="3841" width="9.625" style="223" customWidth="1"/>
    <col min="3842" max="3842" width="10.25" style="223" customWidth="1"/>
    <col min="3843" max="3843" width="18.125" style="223" customWidth="1"/>
    <col min="3844" max="3844" width="14.125" style="223" customWidth="1"/>
    <col min="3845" max="3846" width="12.875" style="223" customWidth="1"/>
    <col min="3847" max="3847" width="10.25" style="223" bestFit="1" customWidth="1"/>
    <col min="3848" max="3848" width="15.5" style="223" customWidth="1"/>
    <col min="3849" max="3849" width="12" style="223" bestFit="1" customWidth="1"/>
    <col min="3850" max="3851" width="11.75" style="223" customWidth="1"/>
    <col min="3852" max="3852" width="13.25" style="223" customWidth="1"/>
    <col min="3853" max="3853" width="11.5" style="223" bestFit="1" customWidth="1"/>
    <col min="3854" max="3854" width="17" style="223" bestFit="1" customWidth="1"/>
    <col min="3855" max="4096" width="9" style="223"/>
    <col min="4097" max="4097" width="9.625" style="223" customWidth="1"/>
    <col min="4098" max="4098" width="10.25" style="223" customWidth="1"/>
    <col min="4099" max="4099" width="18.125" style="223" customWidth="1"/>
    <col min="4100" max="4100" width="14.125" style="223" customWidth="1"/>
    <col min="4101" max="4102" width="12.875" style="223" customWidth="1"/>
    <col min="4103" max="4103" width="10.25" style="223" bestFit="1" customWidth="1"/>
    <col min="4104" max="4104" width="15.5" style="223" customWidth="1"/>
    <col min="4105" max="4105" width="12" style="223" bestFit="1" customWidth="1"/>
    <col min="4106" max="4107" width="11.75" style="223" customWidth="1"/>
    <col min="4108" max="4108" width="13.25" style="223" customWidth="1"/>
    <col min="4109" max="4109" width="11.5" style="223" bestFit="1" customWidth="1"/>
    <col min="4110" max="4110" width="17" style="223" bestFit="1" customWidth="1"/>
    <col min="4111" max="4352" width="9" style="223"/>
    <col min="4353" max="4353" width="9.625" style="223" customWidth="1"/>
    <col min="4354" max="4354" width="10.25" style="223" customWidth="1"/>
    <col min="4355" max="4355" width="18.125" style="223" customWidth="1"/>
    <col min="4356" max="4356" width="14.125" style="223" customWidth="1"/>
    <col min="4357" max="4358" width="12.875" style="223" customWidth="1"/>
    <col min="4359" max="4359" width="10.25" style="223" bestFit="1" customWidth="1"/>
    <col min="4360" max="4360" width="15.5" style="223" customWidth="1"/>
    <col min="4361" max="4361" width="12" style="223" bestFit="1" customWidth="1"/>
    <col min="4362" max="4363" width="11.75" style="223" customWidth="1"/>
    <col min="4364" max="4364" width="13.25" style="223" customWidth="1"/>
    <col min="4365" max="4365" width="11.5" style="223" bestFit="1" customWidth="1"/>
    <col min="4366" max="4366" width="17" style="223" bestFit="1" customWidth="1"/>
    <col min="4367" max="4608" width="9" style="223"/>
    <col min="4609" max="4609" width="9.625" style="223" customWidth="1"/>
    <col min="4610" max="4610" width="10.25" style="223" customWidth="1"/>
    <col min="4611" max="4611" width="18.125" style="223" customWidth="1"/>
    <col min="4612" max="4612" width="14.125" style="223" customWidth="1"/>
    <col min="4613" max="4614" width="12.875" style="223" customWidth="1"/>
    <col min="4615" max="4615" width="10.25" style="223" bestFit="1" customWidth="1"/>
    <col min="4616" max="4616" width="15.5" style="223" customWidth="1"/>
    <col min="4617" max="4617" width="12" style="223" bestFit="1" customWidth="1"/>
    <col min="4618" max="4619" width="11.75" style="223" customWidth="1"/>
    <col min="4620" max="4620" width="13.25" style="223" customWidth="1"/>
    <col min="4621" max="4621" width="11.5" style="223" bestFit="1" customWidth="1"/>
    <col min="4622" max="4622" width="17" style="223" bestFit="1" customWidth="1"/>
    <col min="4623" max="4864" width="9" style="223"/>
    <col min="4865" max="4865" width="9.625" style="223" customWidth="1"/>
    <col min="4866" max="4866" width="10.25" style="223" customWidth="1"/>
    <col min="4867" max="4867" width="18.125" style="223" customWidth="1"/>
    <col min="4868" max="4868" width="14.125" style="223" customWidth="1"/>
    <col min="4869" max="4870" width="12.875" style="223" customWidth="1"/>
    <col min="4871" max="4871" width="10.25" style="223" bestFit="1" customWidth="1"/>
    <col min="4872" max="4872" width="15.5" style="223" customWidth="1"/>
    <col min="4873" max="4873" width="12" style="223" bestFit="1" customWidth="1"/>
    <col min="4874" max="4875" width="11.75" style="223" customWidth="1"/>
    <col min="4876" max="4876" width="13.25" style="223" customWidth="1"/>
    <col min="4877" max="4877" width="11.5" style="223" bestFit="1" customWidth="1"/>
    <col min="4878" max="4878" width="17" style="223" bestFit="1" customWidth="1"/>
    <col min="4879" max="5120" width="9" style="223"/>
    <col min="5121" max="5121" width="9.625" style="223" customWidth="1"/>
    <col min="5122" max="5122" width="10.25" style="223" customWidth="1"/>
    <col min="5123" max="5123" width="18.125" style="223" customWidth="1"/>
    <col min="5124" max="5124" width="14.125" style="223" customWidth="1"/>
    <col min="5125" max="5126" width="12.875" style="223" customWidth="1"/>
    <col min="5127" max="5127" width="10.25" style="223" bestFit="1" customWidth="1"/>
    <col min="5128" max="5128" width="15.5" style="223" customWidth="1"/>
    <col min="5129" max="5129" width="12" style="223" bestFit="1" customWidth="1"/>
    <col min="5130" max="5131" width="11.75" style="223" customWidth="1"/>
    <col min="5132" max="5132" width="13.25" style="223" customWidth="1"/>
    <col min="5133" max="5133" width="11.5" style="223" bestFit="1" customWidth="1"/>
    <col min="5134" max="5134" width="17" style="223" bestFit="1" customWidth="1"/>
    <col min="5135" max="5376" width="9" style="223"/>
    <col min="5377" max="5377" width="9.625" style="223" customWidth="1"/>
    <col min="5378" max="5378" width="10.25" style="223" customWidth="1"/>
    <col min="5379" max="5379" width="18.125" style="223" customWidth="1"/>
    <col min="5380" max="5380" width="14.125" style="223" customWidth="1"/>
    <col min="5381" max="5382" width="12.875" style="223" customWidth="1"/>
    <col min="5383" max="5383" width="10.25" style="223" bestFit="1" customWidth="1"/>
    <col min="5384" max="5384" width="15.5" style="223" customWidth="1"/>
    <col min="5385" max="5385" width="12" style="223" bestFit="1" customWidth="1"/>
    <col min="5386" max="5387" width="11.75" style="223" customWidth="1"/>
    <col min="5388" max="5388" width="13.25" style="223" customWidth="1"/>
    <col min="5389" max="5389" width="11.5" style="223" bestFit="1" customWidth="1"/>
    <col min="5390" max="5390" width="17" style="223" bestFit="1" customWidth="1"/>
    <col min="5391" max="5632" width="9" style="223"/>
    <col min="5633" max="5633" width="9.625" style="223" customWidth="1"/>
    <col min="5634" max="5634" width="10.25" style="223" customWidth="1"/>
    <col min="5635" max="5635" width="18.125" style="223" customWidth="1"/>
    <col min="5636" max="5636" width="14.125" style="223" customWidth="1"/>
    <col min="5637" max="5638" width="12.875" style="223" customWidth="1"/>
    <col min="5639" max="5639" width="10.25" style="223" bestFit="1" customWidth="1"/>
    <col min="5640" max="5640" width="15.5" style="223" customWidth="1"/>
    <col min="5641" max="5641" width="12" style="223" bestFit="1" customWidth="1"/>
    <col min="5642" max="5643" width="11.75" style="223" customWidth="1"/>
    <col min="5644" max="5644" width="13.25" style="223" customWidth="1"/>
    <col min="5645" max="5645" width="11.5" style="223" bestFit="1" customWidth="1"/>
    <col min="5646" max="5646" width="17" style="223" bestFit="1" customWidth="1"/>
    <col min="5647" max="5888" width="9" style="223"/>
    <col min="5889" max="5889" width="9.625" style="223" customWidth="1"/>
    <col min="5890" max="5890" width="10.25" style="223" customWidth="1"/>
    <col min="5891" max="5891" width="18.125" style="223" customWidth="1"/>
    <col min="5892" max="5892" width="14.125" style="223" customWidth="1"/>
    <col min="5893" max="5894" width="12.875" style="223" customWidth="1"/>
    <col min="5895" max="5895" width="10.25" style="223" bestFit="1" customWidth="1"/>
    <col min="5896" max="5896" width="15.5" style="223" customWidth="1"/>
    <col min="5897" max="5897" width="12" style="223" bestFit="1" customWidth="1"/>
    <col min="5898" max="5899" width="11.75" style="223" customWidth="1"/>
    <col min="5900" max="5900" width="13.25" style="223" customWidth="1"/>
    <col min="5901" max="5901" width="11.5" style="223" bestFit="1" customWidth="1"/>
    <col min="5902" max="5902" width="17" style="223" bestFit="1" customWidth="1"/>
    <col min="5903" max="6144" width="9" style="223"/>
    <col min="6145" max="6145" width="9.625" style="223" customWidth="1"/>
    <col min="6146" max="6146" width="10.25" style="223" customWidth="1"/>
    <col min="6147" max="6147" width="18.125" style="223" customWidth="1"/>
    <col min="6148" max="6148" width="14.125" style="223" customWidth="1"/>
    <col min="6149" max="6150" width="12.875" style="223" customWidth="1"/>
    <col min="6151" max="6151" width="10.25" style="223" bestFit="1" customWidth="1"/>
    <col min="6152" max="6152" width="15.5" style="223" customWidth="1"/>
    <col min="6153" max="6153" width="12" style="223" bestFit="1" customWidth="1"/>
    <col min="6154" max="6155" width="11.75" style="223" customWidth="1"/>
    <col min="6156" max="6156" width="13.25" style="223" customWidth="1"/>
    <col min="6157" max="6157" width="11.5" style="223" bestFit="1" customWidth="1"/>
    <col min="6158" max="6158" width="17" style="223" bestFit="1" customWidth="1"/>
    <col min="6159" max="6400" width="9" style="223"/>
    <col min="6401" max="6401" width="9.625" style="223" customWidth="1"/>
    <col min="6402" max="6402" width="10.25" style="223" customWidth="1"/>
    <col min="6403" max="6403" width="18.125" style="223" customWidth="1"/>
    <col min="6404" max="6404" width="14.125" style="223" customWidth="1"/>
    <col min="6405" max="6406" width="12.875" style="223" customWidth="1"/>
    <col min="6407" max="6407" width="10.25" style="223" bestFit="1" customWidth="1"/>
    <col min="6408" max="6408" width="15.5" style="223" customWidth="1"/>
    <col min="6409" max="6409" width="12" style="223" bestFit="1" customWidth="1"/>
    <col min="6410" max="6411" width="11.75" style="223" customWidth="1"/>
    <col min="6412" max="6412" width="13.25" style="223" customWidth="1"/>
    <col min="6413" max="6413" width="11.5" style="223" bestFit="1" customWidth="1"/>
    <col min="6414" max="6414" width="17" style="223" bestFit="1" customWidth="1"/>
    <col min="6415" max="6656" width="9" style="223"/>
    <col min="6657" max="6657" width="9.625" style="223" customWidth="1"/>
    <col min="6658" max="6658" width="10.25" style="223" customWidth="1"/>
    <col min="6659" max="6659" width="18.125" style="223" customWidth="1"/>
    <col min="6660" max="6660" width="14.125" style="223" customWidth="1"/>
    <col min="6661" max="6662" width="12.875" style="223" customWidth="1"/>
    <col min="6663" max="6663" width="10.25" style="223" bestFit="1" customWidth="1"/>
    <col min="6664" max="6664" width="15.5" style="223" customWidth="1"/>
    <col min="6665" max="6665" width="12" style="223" bestFit="1" customWidth="1"/>
    <col min="6666" max="6667" width="11.75" style="223" customWidth="1"/>
    <col min="6668" max="6668" width="13.25" style="223" customWidth="1"/>
    <col min="6669" max="6669" width="11.5" style="223" bestFit="1" customWidth="1"/>
    <col min="6670" max="6670" width="17" style="223" bestFit="1" customWidth="1"/>
    <col min="6671" max="6912" width="9" style="223"/>
    <col min="6913" max="6913" width="9.625" style="223" customWidth="1"/>
    <col min="6914" max="6914" width="10.25" style="223" customWidth="1"/>
    <col min="6915" max="6915" width="18.125" style="223" customWidth="1"/>
    <col min="6916" max="6916" width="14.125" style="223" customWidth="1"/>
    <col min="6917" max="6918" width="12.875" style="223" customWidth="1"/>
    <col min="6919" max="6919" width="10.25" style="223" bestFit="1" customWidth="1"/>
    <col min="6920" max="6920" width="15.5" style="223" customWidth="1"/>
    <col min="6921" max="6921" width="12" style="223" bestFit="1" customWidth="1"/>
    <col min="6922" max="6923" width="11.75" style="223" customWidth="1"/>
    <col min="6924" max="6924" width="13.25" style="223" customWidth="1"/>
    <col min="6925" max="6925" width="11.5" style="223" bestFit="1" customWidth="1"/>
    <col min="6926" max="6926" width="17" style="223" bestFit="1" customWidth="1"/>
    <col min="6927" max="7168" width="9" style="223"/>
    <col min="7169" max="7169" width="9.625" style="223" customWidth="1"/>
    <col min="7170" max="7170" width="10.25" style="223" customWidth="1"/>
    <col min="7171" max="7171" width="18.125" style="223" customWidth="1"/>
    <col min="7172" max="7172" width="14.125" style="223" customWidth="1"/>
    <col min="7173" max="7174" width="12.875" style="223" customWidth="1"/>
    <col min="7175" max="7175" width="10.25" style="223" bestFit="1" customWidth="1"/>
    <col min="7176" max="7176" width="15.5" style="223" customWidth="1"/>
    <col min="7177" max="7177" width="12" style="223" bestFit="1" customWidth="1"/>
    <col min="7178" max="7179" width="11.75" style="223" customWidth="1"/>
    <col min="7180" max="7180" width="13.25" style="223" customWidth="1"/>
    <col min="7181" max="7181" width="11.5" style="223" bestFit="1" customWidth="1"/>
    <col min="7182" max="7182" width="17" style="223" bestFit="1" customWidth="1"/>
    <col min="7183" max="7424" width="9" style="223"/>
    <col min="7425" max="7425" width="9.625" style="223" customWidth="1"/>
    <col min="7426" max="7426" width="10.25" style="223" customWidth="1"/>
    <col min="7427" max="7427" width="18.125" style="223" customWidth="1"/>
    <col min="7428" max="7428" width="14.125" style="223" customWidth="1"/>
    <col min="7429" max="7430" width="12.875" style="223" customWidth="1"/>
    <col min="7431" max="7431" width="10.25" style="223" bestFit="1" customWidth="1"/>
    <col min="7432" max="7432" width="15.5" style="223" customWidth="1"/>
    <col min="7433" max="7433" width="12" style="223" bestFit="1" customWidth="1"/>
    <col min="7434" max="7435" width="11.75" style="223" customWidth="1"/>
    <col min="7436" max="7436" width="13.25" style="223" customWidth="1"/>
    <col min="7437" max="7437" width="11.5" style="223" bestFit="1" customWidth="1"/>
    <col min="7438" max="7438" width="17" style="223" bestFit="1" customWidth="1"/>
    <col min="7439" max="7680" width="9" style="223"/>
    <col min="7681" max="7681" width="9.625" style="223" customWidth="1"/>
    <col min="7682" max="7682" width="10.25" style="223" customWidth="1"/>
    <col min="7683" max="7683" width="18.125" style="223" customWidth="1"/>
    <col min="7684" max="7684" width="14.125" style="223" customWidth="1"/>
    <col min="7685" max="7686" width="12.875" style="223" customWidth="1"/>
    <col min="7687" max="7687" width="10.25" style="223" bestFit="1" customWidth="1"/>
    <col min="7688" max="7688" width="15.5" style="223" customWidth="1"/>
    <col min="7689" max="7689" width="12" style="223" bestFit="1" customWidth="1"/>
    <col min="7690" max="7691" width="11.75" style="223" customWidth="1"/>
    <col min="7692" max="7692" width="13.25" style="223" customWidth="1"/>
    <col min="7693" max="7693" width="11.5" style="223" bestFit="1" customWidth="1"/>
    <col min="7694" max="7694" width="17" style="223" bestFit="1" customWidth="1"/>
    <col min="7695" max="7936" width="9" style="223"/>
    <col min="7937" max="7937" width="9.625" style="223" customWidth="1"/>
    <col min="7938" max="7938" width="10.25" style="223" customWidth="1"/>
    <col min="7939" max="7939" width="18.125" style="223" customWidth="1"/>
    <col min="7940" max="7940" width="14.125" style="223" customWidth="1"/>
    <col min="7941" max="7942" width="12.875" style="223" customWidth="1"/>
    <col min="7943" max="7943" width="10.25" style="223" bestFit="1" customWidth="1"/>
    <col min="7944" max="7944" width="15.5" style="223" customWidth="1"/>
    <col min="7945" max="7945" width="12" style="223" bestFit="1" customWidth="1"/>
    <col min="7946" max="7947" width="11.75" style="223" customWidth="1"/>
    <col min="7948" max="7948" width="13.25" style="223" customWidth="1"/>
    <col min="7949" max="7949" width="11.5" style="223" bestFit="1" customWidth="1"/>
    <col min="7950" max="7950" width="17" style="223" bestFit="1" customWidth="1"/>
    <col min="7951" max="8192" width="9" style="223"/>
    <col min="8193" max="8193" width="9.625" style="223" customWidth="1"/>
    <col min="8194" max="8194" width="10.25" style="223" customWidth="1"/>
    <col min="8195" max="8195" width="18.125" style="223" customWidth="1"/>
    <col min="8196" max="8196" width="14.125" style="223" customWidth="1"/>
    <col min="8197" max="8198" width="12.875" style="223" customWidth="1"/>
    <col min="8199" max="8199" width="10.25" style="223" bestFit="1" customWidth="1"/>
    <col min="8200" max="8200" width="15.5" style="223" customWidth="1"/>
    <col min="8201" max="8201" width="12" style="223" bestFit="1" customWidth="1"/>
    <col min="8202" max="8203" width="11.75" style="223" customWidth="1"/>
    <col min="8204" max="8204" width="13.25" style="223" customWidth="1"/>
    <col min="8205" max="8205" width="11.5" style="223" bestFit="1" customWidth="1"/>
    <col min="8206" max="8206" width="17" style="223" bestFit="1" customWidth="1"/>
    <col min="8207" max="8448" width="9" style="223"/>
    <col min="8449" max="8449" width="9.625" style="223" customWidth="1"/>
    <col min="8450" max="8450" width="10.25" style="223" customWidth="1"/>
    <col min="8451" max="8451" width="18.125" style="223" customWidth="1"/>
    <col min="8452" max="8452" width="14.125" style="223" customWidth="1"/>
    <col min="8453" max="8454" width="12.875" style="223" customWidth="1"/>
    <col min="8455" max="8455" width="10.25" style="223" bestFit="1" customWidth="1"/>
    <col min="8456" max="8456" width="15.5" style="223" customWidth="1"/>
    <col min="8457" max="8457" width="12" style="223" bestFit="1" customWidth="1"/>
    <col min="8458" max="8459" width="11.75" style="223" customWidth="1"/>
    <col min="8460" max="8460" width="13.25" style="223" customWidth="1"/>
    <col min="8461" max="8461" width="11.5" style="223" bestFit="1" customWidth="1"/>
    <col min="8462" max="8462" width="17" style="223" bestFit="1" customWidth="1"/>
    <col min="8463" max="8704" width="9" style="223"/>
    <col min="8705" max="8705" width="9.625" style="223" customWidth="1"/>
    <col min="8706" max="8706" width="10.25" style="223" customWidth="1"/>
    <col min="8707" max="8707" width="18.125" style="223" customWidth="1"/>
    <col min="8708" max="8708" width="14.125" style="223" customWidth="1"/>
    <col min="8709" max="8710" width="12.875" style="223" customWidth="1"/>
    <col min="8711" max="8711" width="10.25" style="223" bestFit="1" customWidth="1"/>
    <col min="8712" max="8712" width="15.5" style="223" customWidth="1"/>
    <col min="8713" max="8713" width="12" style="223" bestFit="1" customWidth="1"/>
    <col min="8714" max="8715" width="11.75" style="223" customWidth="1"/>
    <col min="8716" max="8716" width="13.25" style="223" customWidth="1"/>
    <col min="8717" max="8717" width="11.5" style="223" bestFit="1" customWidth="1"/>
    <col min="8718" max="8718" width="17" style="223" bestFit="1" customWidth="1"/>
    <col min="8719" max="8960" width="9" style="223"/>
    <col min="8961" max="8961" width="9.625" style="223" customWidth="1"/>
    <col min="8962" max="8962" width="10.25" style="223" customWidth="1"/>
    <col min="8963" max="8963" width="18.125" style="223" customWidth="1"/>
    <col min="8964" max="8964" width="14.125" style="223" customWidth="1"/>
    <col min="8965" max="8966" width="12.875" style="223" customWidth="1"/>
    <col min="8967" max="8967" width="10.25" style="223" bestFit="1" customWidth="1"/>
    <col min="8968" max="8968" width="15.5" style="223" customWidth="1"/>
    <col min="8969" max="8969" width="12" style="223" bestFit="1" customWidth="1"/>
    <col min="8970" max="8971" width="11.75" style="223" customWidth="1"/>
    <col min="8972" max="8972" width="13.25" style="223" customWidth="1"/>
    <col min="8973" max="8973" width="11.5" style="223" bestFit="1" customWidth="1"/>
    <col min="8974" max="8974" width="17" style="223" bestFit="1" customWidth="1"/>
    <col min="8975" max="9216" width="9" style="223"/>
    <col min="9217" max="9217" width="9.625" style="223" customWidth="1"/>
    <col min="9218" max="9218" width="10.25" style="223" customWidth="1"/>
    <col min="9219" max="9219" width="18.125" style="223" customWidth="1"/>
    <col min="9220" max="9220" width="14.125" style="223" customWidth="1"/>
    <col min="9221" max="9222" width="12.875" style="223" customWidth="1"/>
    <col min="9223" max="9223" width="10.25" style="223" bestFit="1" customWidth="1"/>
    <col min="9224" max="9224" width="15.5" style="223" customWidth="1"/>
    <col min="9225" max="9225" width="12" style="223" bestFit="1" customWidth="1"/>
    <col min="9226" max="9227" width="11.75" style="223" customWidth="1"/>
    <col min="9228" max="9228" width="13.25" style="223" customWidth="1"/>
    <col min="9229" max="9229" width="11.5" style="223" bestFit="1" customWidth="1"/>
    <col min="9230" max="9230" width="17" style="223" bestFit="1" customWidth="1"/>
    <col min="9231" max="9472" width="9" style="223"/>
    <col min="9473" max="9473" width="9.625" style="223" customWidth="1"/>
    <col min="9474" max="9474" width="10.25" style="223" customWidth="1"/>
    <col min="9475" max="9475" width="18.125" style="223" customWidth="1"/>
    <col min="9476" max="9476" width="14.125" style="223" customWidth="1"/>
    <col min="9477" max="9478" width="12.875" style="223" customWidth="1"/>
    <col min="9479" max="9479" width="10.25" style="223" bestFit="1" customWidth="1"/>
    <col min="9480" max="9480" width="15.5" style="223" customWidth="1"/>
    <col min="9481" max="9481" width="12" style="223" bestFit="1" customWidth="1"/>
    <col min="9482" max="9483" width="11.75" style="223" customWidth="1"/>
    <col min="9484" max="9484" width="13.25" style="223" customWidth="1"/>
    <col min="9485" max="9485" width="11.5" style="223" bestFit="1" customWidth="1"/>
    <col min="9486" max="9486" width="17" style="223" bestFit="1" customWidth="1"/>
    <col min="9487" max="9728" width="9" style="223"/>
    <col min="9729" max="9729" width="9.625" style="223" customWidth="1"/>
    <col min="9730" max="9730" width="10.25" style="223" customWidth="1"/>
    <col min="9731" max="9731" width="18.125" style="223" customWidth="1"/>
    <col min="9732" max="9732" width="14.125" style="223" customWidth="1"/>
    <col min="9733" max="9734" width="12.875" style="223" customWidth="1"/>
    <col min="9735" max="9735" width="10.25" style="223" bestFit="1" customWidth="1"/>
    <col min="9736" max="9736" width="15.5" style="223" customWidth="1"/>
    <col min="9737" max="9737" width="12" style="223" bestFit="1" customWidth="1"/>
    <col min="9738" max="9739" width="11.75" style="223" customWidth="1"/>
    <col min="9740" max="9740" width="13.25" style="223" customWidth="1"/>
    <col min="9741" max="9741" width="11.5" style="223" bestFit="1" customWidth="1"/>
    <col min="9742" max="9742" width="17" style="223" bestFit="1" customWidth="1"/>
    <col min="9743" max="9984" width="9" style="223"/>
    <col min="9985" max="9985" width="9.625" style="223" customWidth="1"/>
    <col min="9986" max="9986" width="10.25" style="223" customWidth="1"/>
    <col min="9987" max="9987" width="18.125" style="223" customWidth="1"/>
    <col min="9988" max="9988" width="14.125" style="223" customWidth="1"/>
    <col min="9989" max="9990" width="12.875" style="223" customWidth="1"/>
    <col min="9991" max="9991" width="10.25" style="223" bestFit="1" customWidth="1"/>
    <col min="9992" max="9992" width="15.5" style="223" customWidth="1"/>
    <col min="9993" max="9993" width="12" style="223" bestFit="1" customWidth="1"/>
    <col min="9994" max="9995" width="11.75" style="223" customWidth="1"/>
    <col min="9996" max="9996" width="13.25" style="223" customWidth="1"/>
    <col min="9997" max="9997" width="11.5" style="223" bestFit="1" customWidth="1"/>
    <col min="9998" max="9998" width="17" style="223" bestFit="1" customWidth="1"/>
    <col min="9999" max="10240" width="9" style="223"/>
    <col min="10241" max="10241" width="9.625" style="223" customWidth="1"/>
    <col min="10242" max="10242" width="10.25" style="223" customWidth="1"/>
    <col min="10243" max="10243" width="18.125" style="223" customWidth="1"/>
    <col min="10244" max="10244" width="14.125" style="223" customWidth="1"/>
    <col min="10245" max="10246" width="12.875" style="223" customWidth="1"/>
    <col min="10247" max="10247" width="10.25" style="223" bestFit="1" customWidth="1"/>
    <col min="10248" max="10248" width="15.5" style="223" customWidth="1"/>
    <col min="10249" max="10249" width="12" style="223" bestFit="1" customWidth="1"/>
    <col min="10250" max="10251" width="11.75" style="223" customWidth="1"/>
    <col min="10252" max="10252" width="13.25" style="223" customWidth="1"/>
    <col min="10253" max="10253" width="11.5" style="223" bestFit="1" customWidth="1"/>
    <col min="10254" max="10254" width="17" style="223" bestFit="1" customWidth="1"/>
    <col min="10255" max="10496" width="9" style="223"/>
    <col min="10497" max="10497" width="9.625" style="223" customWidth="1"/>
    <col min="10498" max="10498" width="10.25" style="223" customWidth="1"/>
    <col min="10499" max="10499" width="18.125" style="223" customWidth="1"/>
    <col min="10500" max="10500" width="14.125" style="223" customWidth="1"/>
    <col min="10501" max="10502" width="12.875" style="223" customWidth="1"/>
    <col min="10503" max="10503" width="10.25" style="223" bestFit="1" customWidth="1"/>
    <col min="10504" max="10504" width="15.5" style="223" customWidth="1"/>
    <col min="10505" max="10505" width="12" style="223" bestFit="1" customWidth="1"/>
    <col min="10506" max="10507" width="11.75" style="223" customWidth="1"/>
    <col min="10508" max="10508" width="13.25" style="223" customWidth="1"/>
    <col min="10509" max="10509" width="11.5" style="223" bestFit="1" customWidth="1"/>
    <col min="10510" max="10510" width="17" style="223" bestFit="1" customWidth="1"/>
    <col min="10511" max="10752" width="9" style="223"/>
    <col min="10753" max="10753" width="9.625" style="223" customWidth="1"/>
    <col min="10754" max="10754" width="10.25" style="223" customWidth="1"/>
    <col min="10755" max="10755" width="18.125" style="223" customWidth="1"/>
    <col min="10756" max="10756" width="14.125" style="223" customWidth="1"/>
    <col min="10757" max="10758" width="12.875" style="223" customWidth="1"/>
    <col min="10759" max="10759" width="10.25" style="223" bestFit="1" customWidth="1"/>
    <col min="10760" max="10760" width="15.5" style="223" customWidth="1"/>
    <col min="10761" max="10761" width="12" style="223" bestFit="1" customWidth="1"/>
    <col min="10762" max="10763" width="11.75" style="223" customWidth="1"/>
    <col min="10764" max="10764" width="13.25" style="223" customWidth="1"/>
    <col min="10765" max="10765" width="11.5" style="223" bestFit="1" customWidth="1"/>
    <col min="10766" max="10766" width="17" style="223" bestFit="1" customWidth="1"/>
    <col min="10767" max="11008" width="9" style="223"/>
    <col min="11009" max="11009" width="9.625" style="223" customWidth="1"/>
    <col min="11010" max="11010" width="10.25" style="223" customWidth="1"/>
    <col min="11011" max="11011" width="18.125" style="223" customWidth="1"/>
    <col min="11012" max="11012" width="14.125" style="223" customWidth="1"/>
    <col min="11013" max="11014" width="12.875" style="223" customWidth="1"/>
    <col min="11015" max="11015" width="10.25" style="223" bestFit="1" customWidth="1"/>
    <col min="11016" max="11016" width="15.5" style="223" customWidth="1"/>
    <col min="11017" max="11017" width="12" style="223" bestFit="1" customWidth="1"/>
    <col min="11018" max="11019" width="11.75" style="223" customWidth="1"/>
    <col min="11020" max="11020" width="13.25" style="223" customWidth="1"/>
    <col min="11021" max="11021" width="11.5" style="223" bestFit="1" customWidth="1"/>
    <col min="11022" max="11022" width="17" style="223" bestFit="1" customWidth="1"/>
    <col min="11023" max="11264" width="9" style="223"/>
    <col min="11265" max="11265" width="9.625" style="223" customWidth="1"/>
    <col min="11266" max="11266" width="10.25" style="223" customWidth="1"/>
    <col min="11267" max="11267" width="18.125" style="223" customWidth="1"/>
    <col min="11268" max="11268" width="14.125" style="223" customWidth="1"/>
    <col min="11269" max="11270" width="12.875" style="223" customWidth="1"/>
    <col min="11271" max="11271" width="10.25" style="223" bestFit="1" customWidth="1"/>
    <col min="11272" max="11272" width="15.5" style="223" customWidth="1"/>
    <col min="11273" max="11273" width="12" style="223" bestFit="1" customWidth="1"/>
    <col min="11274" max="11275" width="11.75" style="223" customWidth="1"/>
    <col min="11276" max="11276" width="13.25" style="223" customWidth="1"/>
    <col min="11277" max="11277" width="11.5" style="223" bestFit="1" customWidth="1"/>
    <col min="11278" max="11278" width="17" style="223" bestFit="1" customWidth="1"/>
    <col min="11279" max="11520" width="9" style="223"/>
    <col min="11521" max="11521" width="9.625" style="223" customWidth="1"/>
    <col min="11522" max="11522" width="10.25" style="223" customWidth="1"/>
    <col min="11523" max="11523" width="18.125" style="223" customWidth="1"/>
    <col min="11524" max="11524" width="14.125" style="223" customWidth="1"/>
    <col min="11525" max="11526" width="12.875" style="223" customWidth="1"/>
    <col min="11527" max="11527" width="10.25" style="223" bestFit="1" customWidth="1"/>
    <col min="11528" max="11528" width="15.5" style="223" customWidth="1"/>
    <col min="11529" max="11529" width="12" style="223" bestFit="1" customWidth="1"/>
    <col min="11530" max="11531" width="11.75" style="223" customWidth="1"/>
    <col min="11532" max="11532" width="13.25" style="223" customWidth="1"/>
    <col min="11533" max="11533" width="11.5" style="223" bestFit="1" customWidth="1"/>
    <col min="11534" max="11534" width="17" style="223" bestFit="1" customWidth="1"/>
    <col min="11535" max="11776" width="9" style="223"/>
    <col min="11777" max="11777" width="9.625" style="223" customWidth="1"/>
    <col min="11778" max="11778" width="10.25" style="223" customWidth="1"/>
    <col min="11779" max="11779" width="18.125" style="223" customWidth="1"/>
    <col min="11780" max="11780" width="14.125" style="223" customWidth="1"/>
    <col min="11781" max="11782" width="12.875" style="223" customWidth="1"/>
    <col min="11783" max="11783" width="10.25" style="223" bestFit="1" customWidth="1"/>
    <col min="11784" max="11784" width="15.5" style="223" customWidth="1"/>
    <col min="11785" max="11785" width="12" style="223" bestFit="1" customWidth="1"/>
    <col min="11786" max="11787" width="11.75" style="223" customWidth="1"/>
    <col min="11788" max="11788" width="13.25" style="223" customWidth="1"/>
    <col min="11789" max="11789" width="11.5" style="223" bestFit="1" customWidth="1"/>
    <col min="11790" max="11790" width="17" style="223" bestFit="1" customWidth="1"/>
    <col min="11791" max="12032" width="9" style="223"/>
    <col min="12033" max="12033" width="9.625" style="223" customWidth="1"/>
    <col min="12034" max="12034" width="10.25" style="223" customWidth="1"/>
    <col min="12035" max="12035" width="18.125" style="223" customWidth="1"/>
    <col min="12036" max="12036" width="14.125" style="223" customWidth="1"/>
    <col min="12037" max="12038" width="12.875" style="223" customWidth="1"/>
    <col min="12039" max="12039" width="10.25" style="223" bestFit="1" customWidth="1"/>
    <col min="12040" max="12040" width="15.5" style="223" customWidth="1"/>
    <col min="12041" max="12041" width="12" style="223" bestFit="1" customWidth="1"/>
    <col min="12042" max="12043" width="11.75" style="223" customWidth="1"/>
    <col min="12044" max="12044" width="13.25" style="223" customWidth="1"/>
    <col min="12045" max="12045" width="11.5" style="223" bestFit="1" customWidth="1"/>
    <col min="12046" max="12046" width="17" style="223" bestFit="1" customWidth="1"/>
    <col min="12047" max="12288" width="9" style="223"/>
    <col min="12289" max="12289" width="9.625" style="223" customWidth="1"/>
    <col min="12290" max="12290" width="10.25" style="223" customWidth="1"/>
    <col min="12291" max="12291" width="18.125" style="223" customWidth="1"/>
    <col min="12292" max="12292" width="14.125" style="223" customWidth="1"/>
    <col min="12293" max="12294" width="12.875" style="223" customWidth="1"/>
    <col min="12295" max="12295" width="10.25" style="223" bestFit="1" customWidth="1"/>
    <col min="12296" max="12296" width="15.5" style="223" customWidth="1"/>
    <col min="12297" max="12297" width="12" style="223" bestFit="1" customWidth="1"/>
    <col min="12298" max="12299" width="11.75" style="223" customWidth="1"/>
    <col min="12300" max="12300" width="13.25" style="223" customWidth="1"/>
    <col min="12301" max="12301" width="11.5" style="223" bestFit="1" customWidth="1"/>
    <col min="12302" max="12302" width="17" style="223" bestFit="1" customWidth="1"/>
    <col min="12303" max="12544" width="9" style="223"/>
    <col min="12545" max="12545" width="9.625" style="223" customWidth="1"/>
    <col min="12546" max="12546" width="10.25" style="223" customWidth="1"/>
    <col min="12547" max="12547" width="18.125" style="223" customWidth="1"/>
    <col min="12548" max="12548" width="14.125" style="223" customWidth="1"/>
    <col min="12549" max="12550" width="12.875" style="223" customWidth="1"/>
    <col min="12551" max="12551" width="10.25" style="223" bestFit="1" customWidth="1"/>
    <col min="12552" max="12552" width="15.5" style="223" customWidth="1"/>
    <col min="12553" max="12553" width="12" style="223" bestFit="1" customWidth="1"/>
    <col min="12554" max="12555" width="11.75" style="223" customWidth="1"/>
    <col min="12556" max="12556" width="13.25" style="223" customWidth="1"/>
    <col min="12557" max="12557" width="11.5" style="223" bestFit="1" customWidth="1"/>
    <col min="12558" max="12558" width="17" style="223" bestFit="1" customWidth="1"/>
    <col min="12559" max="12800" width="9" style="223"/>
    <col min="12801" max="12801" width="9.625" style="223" customWidth="1"/>
    <col min="12802" max="12802" width="10.25" style="223" customWidth="1"/>
    <col min="12803" max="12803" width="18.125" style="223" customWidth="1"/>
    <col min="12804" max="12804" width="14.125" style="223" customWidth="1"/>
    <col min="12805" max="12806" width="12.875" style="223" customWidth="1"/>
    <col min="12807" max="12807" width="10.25" style="223" bestFit="1" customWidth="1"/>
    <col min="12808" max="12808" width="15.5" style="223" customWidth="1"/>
    <col min="12809" max="12809" width="12" style="223" bestFit="1" customWidth="1"/>
    <col min="12810" max="12811" width="11.75" style="223" customWidth="1"/>
    <col min="12812" max="12812" width="13.25" style="223" customWidth="1"/>
    <col min="12813" max="12813" width="11.5" style="223" bestFit="1" customWidth="1"/>
    <col min="12814" max="12814" width="17" style="223" bestFit="1" customWidth="1"/>
    <col min="12815" max="13056" width="9" style="223"/>
    <col min="13057" max="13057" width="9.625" style="223" customWidth="1"/>
    <col min="13058" max="13058" width="10.25" style="223" customWidth="1"/>
    <col min="13059" max="13059" width="18.125" style="223" customWidth="1"/>
    <col min="13060" max="13060" width="14.125" style="223" customWidth="1"/>
    <col min="13061" max="13062" width="12.875" style="223" customWidth="1"/>
    <col min="13063" max="13063" width="10.25" style="223" bestFit="1" customWidth="1"/>
    <col min="13064" max="13064" width="15.5" style="223" customWidth="1"/>
    <col min="13065" max="13065" width="12" style="223" bestFit="1" customWidth="1"/>
    <col min="13066" max="13067" width="11.75" style="223" customWidth="1"/>
    <col min="13068" max="13068" width="13.25" style="223" customWidth="1"/>
    <col min="13069" max="13069" width="11.5" style="223" bestFit="1" customWidth="1"/>
    <col min="13070" max="13070" width="17" style="223" bestFit="1" customWidth="1"/>
    <col min="13071" max="13312" width="9" style="223"/>
    <col min="13313" max="13313" width="9.625" style="223" customWidth="1"/>
    <col min="13314" max="13314" width="10.25" style="223" customWidth="1"/>
    <col min="13315" max="13315" width="18.125" style="223" customWidth="1"/>
    <col min="13316" max="13316" width="14.125" style="223" customWidth="1"/>
    <col min="13317" max="13318" width="12.875" style="223" customWidth="1"/>
    <col min="13319" max="13319" width="10.25" style="223" bestFit="1" customWidth="1"/>
    <col min="13320" max="13320" width="15.5" style="223" customWidth="1"/>
    <col min="13321" max="13321" width="12" style="223" bestFit="1" customWidth="1"/>
    <col min="13322" max="13323" width="11.75" style="223" customWidth="1"/>
    <col min="13324" max="13324" width="13.25" style="223" customWidth="1"/>
    <col min="13325" max="13325" width="11.5" style="223" bestFit="1" customWidth="1"/>
    <col min="13326" max="13326" width="17" style="223" bestFit="1" customWidth="1"/>
    <col min="13327" max="13568" width="9" style="223"/>
    <col min="13569" max="13569" width="9.625" style="223" customWidth="1"/>
    <col min="13570" max="13570" width="10.25" style="223" customWidth="1"/>
    <col min="13571" max="13571" width="18.125" style="223" customWidth="1"/>
    <col min="13572" max="13572" width="14.125" style="223" customWidth="1"/>
    <col min="13573" max="13574" width="12.875" style="223" customWidth="1"/>
    <col min="13575" max="13575" width="10.25" style="223" bestFit="1" customWidth="1"/>
    <col min="13576" max="13576" width="15.5" style="223" customWidth="1"/>
    <col min="13577" max="13577" width="12" style="223" bestFit="1" customWidth="1"/>
    <col min="13578" max="13579" width="11.75" style="223" customWidth="1"/>
    <col min="13580" max="13580" width="13.25" style="223" customWidth="1"/>
    <col min="13581" max="13581" width="11.5" style="223" bestFit="1" customWidth="1"/>
    <col min="13582" max="13582" width="17" style="223" bestFit="1" customWidth="1"/>
    <col min="13583" max="13824" width="9" style="223"/>
    <col min="13825" max="13825" width="9.625" style="223" customWidth="1"/>
    <col min="13826" max="13826" width="10.25" style="223" customWidth="1"/>
    <col min="13827" max="13827" width="18.125" style="223" customWidth="1"/>
    <col min="13828" max="13828" width="14.125" style="223" customWidth="1"/>
    <col min="13829" max="13830" width="12.875" style="223" customWidth="1"/>
    <col min="13831" max="13831" width="10.25" style="223" bestFit="1" customWidth="1"/>
    <col min="13832" max="13832" width="15.5" style="223" customWidth="1"/>
    <col min="13833" max="13833" width="12" style="223" bestFit="1" customWidth="1"/>
    <col min="13834" max="13835" width="11.75" style="223" customWidth="1"/>
    <col min="13836" max="13836" width="13.25" style="223" customWidth="1"/>
    <col min="13837" max="13837" width="11.5" style="223" bestFit="1" customWidth="1"/>
    <col min="13838" max="13838" width="17" style="223" bestFit="1" customWidth="1"/>
    <col min="13839" max="14080" width="9" style="223"/>
    <col min="14081" max="14081" width="9.625" style="223" customWidth="1"/>
    <col min="14082" max="14082" width="10.25" style="223" customWidth="1"/>
    <col min="14083" max="14083" width="18.125" style="223" customWidth="1"/>
    <col min="14084" max="14084" width="14.125" style="223" customWidth="1"/>
    <col min="14085" max="14086" width="12.875" style="223" customWidth="1"/>
    <col min="14087" max="14087" width="10.25" style="223" bestFit="1" customWidth="1"/>
    <col min="14088" max="14088" width="15.5" style="223" customWidth="1"/>
    <col min="14089" max="14089" width="12" style="223" bestFit="1" customWidth="1"/>
    <col min="14090" max="14091" width="11.75" style="223" customWidth="1"/>
    <col min="14092" max="14092" width="13.25" style="223" customWidth="1"/>
    <col min="14093" max="14093" width="11.5" style="223" bestFit="1" customWidth="1"/>
    <col min="14094" max="14094" width="17" style="223" bestFit="1" customWidth="1"/>
    <col min="14095" max="14336" width="9" style="223"/>
    <col min="14337" max="14337" width="9.625" style="223" customWidth="1"/>
    <col min="14338" max="14338" width="10.25" style="223" customWidth="1"/>
    <col min="14339" max="14339" width="18.125" style="223" customWidth="1"/>
    <col min="14340" max="14340" width="14.125" style="223" customWidth="1"/>
    <col min="14341" max="14342" width="12.875" style="223" customWidth="1"/>
    <col min="14343" max="14343" width="10.25" style="223" bestFit="1" customWidth="1"/>
    <col min="14344" max="14344" width="15.5" style="223" customWidth="1"/>
    <col min="14345" max="14345" width="12" style="223" bestFit="1" customWidth="1"/>
    <col min="14346" max="14347" width="11.75" style="223" customWidth="1"/>
    <col min="14348" max="14348" width="13.25" style="223" customWidth="1"/>
    <col min="14349" max="14349" width="11.5" style="223" bestFit="1" customWidth="1"/>
    <col min="14350" max="14350" width="17" style="223" bestFit="1" customWidth="1"/>
    <col min="14351" max="14592" width="9" style="223"/>
    <col min="14593" max="14593" width="9.625" style="223" customWidth="1"/>
    <col min="14594" max="14594" width="10.25" style="223" customWidth="1"/>
    <col min="14595" max="14595" width="18.125" style="223" customWidth="1"/>
    <col min="14596" max="14596" width="14.125" style="223" customWidth="1"/>
    <col min="14597" max="14598" width="12.875" style="223" customWidth="1"/>
    <col min="14599" max="14599" width="10.25" style="223" bestFit="1" customWidth="1"/>
    <col min="14600" max="14600" width="15.5" style="223" customWidth="1"/>
    <col min="14601" max="14601" width="12" style="223" bestFit="1" customWidth="1"/>
    <col min="14602" max="14603" width="11.75" style="223" customWidth="1"/>
    <col min="14604" max="14604" width="13.25" style="223" customWidth="1"/>
    <col min="14605" max="14605" width="11.5" style="223" bestFit="1" customWidth="1"/>
    <col min="14606" max="14606" width="17" style="223" bestFit="1" customWidth="1"/>
    <col min="14607" max="14848" width="9" style="223"/>
    <col min="14849" max="14849" width="9.625" style="223" customWidth="1"/>
    <col min="14850" max="14850" width="10.25" style="223" customWidth="1"/>
    <col min="14851" max="14851" width="18.125" style="223" customWidth="1"/>
    <col min="14852" max="14852" width="14.125" style="223" customWidth="1"/>
    <col min="14853" max="14854" width="12.875" style="223" customWidth="1"/>
    <col min="14855" max="14855" width="10.25" style="223" bestFit="1" customWidth="1"/>
    <col min="14856" max="14856" width="15.5" style="223" customWidth="1"/>
    <col min="14857" max="14857" width="12" style="223" bestFit="1" customWidth="1"/>
    <col min="14858" max="14859" width="11.75" style="223" customWidth="1"/>
    <col min="14860" max="14860" width="13.25" style="223" customWidth="1"/>
    <col min="14861" max="14861" width="11.5" style="223" bestFit="1" customWidth="1"/>
    <col min="14862" max="14862" width="17" style="223" bestFit="1" customWidth="1"/>
    <col min="14863" max="15104" width="9" style="223"/>
    <col min="15105" max="15105" width="9.625" style="223" customWidth="1"/>
    <col min="15106" max="15106" width="10.25" style="223" customWidth="1"/>
    <col min="15107" max="15107" width="18.125" style="223" customWidth="1"/>
    <col min="15108" max="15108" width="14.125" style="223" customWidth="1"/>
    <col min="15109" max="15110" width="12.875" style="223" customWidth="1"/>
    <col min="15111" max="15111" width="10.25" style="223" bestFit="1" customWidth="1"/>
    <col min="15112" max="15112" width="15.5" style="223" customWidth="1"/>
    <col min="15113" max="15113" width="12" style="223" bestFit="1" customWidth="1"/>
    <col min="15114" max="15115" width="11.75" style="223" customWidth="1"/>
    <col min="15116" max="15116" width="13.25" style="223" customWidth="1"/>
    <col min="15117" max="15117" width="11.5" style="223" bestFit="1" customWidth="1"/>
    <col min="15118" max="15118" width="17" style="223" bestFit="1" customWidth="1"/>
    <col min="15119" max="15360" width="9" style="223"/>
    <col min="15361" max="15361" width="9.625" style="223" customWidth="1"/>
    <col min="15362" max="15362" width="10.25" style="223" customWidth="1"/>
    <col min="15363" max="15363" width="18.125" style="223" customWidth="1"/>
    <col min="15364" max="15364" width="14.125" style="223" customWidth="1"/>
    <col min="15365" max="15366" width="12.875" style="223" customWidth="1"/>
    <col min="15367" max="15367" width="10.25" style="223" bestFit="1" customWidth="1"/>
    <col min="15368" max="15368" width="15.5" style="223" customWidth="1"/>
    <col min="15369" max="15369" width="12" style="223" bestFit="1" customWidth="1"/>
    <col min="15370" max="15371" width="11.75" style="223" customWidth="1"/>
    <col min="15372" max="15372" width="13.25" style="223" customWidth="1"/>
    <col min="15373" max="15373" width="11.5" style="223" bestFit="1" customWidth="1"/>
    <col min="15374" max="15374" width="17" style="223" bestFit="1" customWidth="1"/>
    <col min="15375" max="15616" width="9" style="223"/>
    <col min="15617" max="15617" width="9.625" style="223" customWidth="1"/>
    <col min="15618" max="15618" width="10.25" style="223" customWidth="1"/>
    <col min="15619" max="15619" width="18.125" style="223" customWidth="1"/>
    <col min="15620" max="15620" width="14.125" style="223" customWidth="1"/>
    <col min="15621" max="15622" width="12.875" style="223" customWidth="1"/>
    <col min="15623" max="15623" width="10.25" style="223" bestFit="1" customWidth="1"/>
    <col min="15624" max="15624" width="15.5" style="223" customWidth="1"/>
    <col min="15625" max="15625" width="12" style="223" bestFit="1" customWidth="1"/>
    <col min="15626" max="15627" width="11.75" style="223" customWidth="1"/>
    <col min="15628" max="15628" width="13.25" style="223" customWidth="1"/>
    <col min="15629" max="15629" width="11.5" style="223" bestFit="1" customWidth="1"/>
    <col min="15630" max="15630" width="17" style="223" bestFit="1" customWidth="1"/>
    <col min="15631" max="15872" width="9" style="223"/>
    <col min="15873" max="15873" width="9.625" style="223" customWidth="1"/>
    <col min="15874" max="15874" width="10.25" style="223" customWidth="1"/>
    <col min="15875" max="15875" width="18.125" style="223" customWidth="1"/>
    <col min="15876" max="15876" width="14.125" style="223" customWidth="1"/>
    <col min="15877" max="15878" width="12.875" style="223" customWidth="1"/>
    <col min="15879" max="15879" width="10.25" style="223" bestFit="1" customWidth="1"/>
    <col min="15880" max="15880" width="15.5" style="223" customWidth="1"/>
    <col min="15881" max="15881" width="12" style="223" bestFit="1" customWidth="1"/>
    <col min="15882" max="15883" width="11.75" style="223" customWidth="1"/>
    <col min="15884" max="15884" width="13.25" style="223" customWidth="1"/>
    <col min="15885" max="15885" width="11.5" style="223" bestFit="1" customWidth="1"/>
    <col min="15886" max="15886" width="17" style="223" bestFit="1" customWidth="1"/>
    <col min="15887" max="16128" width="9" style="223"/>
    <col min="16129" max="16129" width="9.625" style="223" customWidth="1"/>
    <col min="16130" max="16130" width="10.25" style="223" customWidth="1"/>
    <col min="16131" max="16131" width="18.125" style="223" customWidth="1"/>
    <col min="16132" max="16132" width="14.125" style="223" customWidth="1"/>
    <col min="16133" max="16134" width="12.875" style="223" customWidth="1"/>
    <col min="16135" max="16135" width="10.25" style="223" bestFit="1" customWidth="1"/>
    <col min="16136" max="16136" width="15.5" style="223" customWidth="1"/>
    <col min="16137" max="16137" width="12" style="223" bestFit="1" customWidth="1"/>
    <col min="16138" max="16139" width="11.75" style="223" customWidth="1"/>
    <col min="16140" max="16140" width="13.25" style="223" customWidth="1"/>
    <col min="16141" max="16141" width="11.5" style="223" bestFit="1" customWidth="1"/>
    <col min="16142" max="16142" width="17" style="223" bestFit="1" customWidth="1"/>
    <col min="16143" max="16384" width="9" style="223"/>
  </cols>
  <sheetData>
    <row r="1" spans="1:16" ht="30" customHeight="1">
      <c r="A1" s="160" t="s">
        <v>292</v>
      </c>
      <c r="B1" s="218"/>
      <c r="C1" s="160"/>
      <c r="D1" s="219"/>
      <c r="E1" s="220"/>
      <c r="F1" s="221"/>
      <c r="G1" s="221"/>
      <c r="H1" s="221"/>
      <c r="I1" s="221"/>
      <c r="J1" s="221"/>
      <c r="K1" s="221"/>
      <c r="L1" s="220"/>
      <c r="M1" s="222"/>
      <c r="N1" s="218"/>
      <c r="O1" s="218"/>
      <c r="P1" s="218"/>
    </row>
    <row r="2" spans="1:16" ht="24.95" customHeight="1" thickBot="1">
      <c r="A2" s="218"/>
      <c r="B2" s="218"/>
      <c r="C2" s="218"/>
      <c r="D2" s="219"/>
      <c r="E2" s="220"/>
      <c r="F2" s="221"/>
      <c r="G2" s="221"/>
      <c r="H2" s="221"/>
      <c r="I2" s="221"/>
      <c r="J2" s="221"/>
      <c r="K2" s="221"/>
      <c r="L2" s="220"/>
      <c r="M2" s="222"/>
      <c r="N2" s="218"/>
      <c r="O2" s="218"/>
      <c r="P2" s="218"/>
    </row>
    <row r="3" spans="1:16" ht="24.95" customHeight="1">
      <c r="A3" s="1070" t="s">
        <v>73</v>
      </c>
      <c r="B3" s="1071"/>
      <c r="C3" s="1071"/>
      <c r="D3" s="1074" t="s">
        <v>74</v>
      </c>
      <c r="E3" s="1076" t="s">
        <v>75</v>
      </c>
      <c r="F3" s="1078" t="s">
        <v>76</v>
      </c>
      <c r="G3" s="1078"/>
      <c r="H3" s="1079" t="s">
        <v>295</v>
      </c>
      <c r="I3" s="1076" t="s">
        <v>296</v>
      </c>
      <c r="J3" s="1040" t="s">
        <v>297</v>
      </c>
      <c r="K3" s="221"/>
      <c r="L3" s="220"/>
      <c r="M3" s="222"/>
      <c r="N3" s="218"/>
      <c r="O3" s="218"/>
      <c r="P3" s="218"/>
    </row>
    <row r="4" spans="1:16" ht="24.95" customHeight="1">
      <c r="A4" s="1072"/>
      <c r="B4" s="1073"/>
      <c r="C4" s="1073"/>
      <c r="D4" s="1075"/>
      <c r="E4" s="1077"/>
      <c r="F4" s="476" t="s">
        <v>78</v>
      </c>
      <c r="G4" s="476" t="s">
        <v>79</v>
      </c>
      <c r="H4" s="1080"/>
      <c r="I4" s="1077"/>
      <c r="J4" s="1041"/>
      <c r="K4" s="221"/>
      <c r="L4" s="220"/>
      <c r="M4" s="222"/>
      <c r="N4" s="218"/>
      <c r="O4" s="218"/>
      <c r="P4" s="218"/>
    </row>
    <row r="5" spans="1:16" ht="24.95" customHeight="1">
      <c r="A5" s="1060" t="str">
        <f>참여업체!C5</f>
        <v>A</v>
      </c>
      <c r="B5" s="1061"/>
      <c r="C5" s="1061"/>
      <c r="D5" s="224">
        <f>참여업체!C6</f>
        <v>0.57999999999999996</v>
      </c>
      <c r="E5" s="225">
        <f>H18*D5</f>
        <v>1.2566666666666666</v>
      </c>
      <c r="F5" s="226">
        <f>J28*D5</f>
        <v>0.46399999999999997</v>
      </c>
      <c r="G5" s="226">
        <f>L35*D5</f>
        <v>0</v>
      </c>
      <c r="H5" s="1062">
        <f>SUM(E10:G10)*0.1*0.8</f>
        <v>0.13765333333333335</v>
      </c>
      <c r="I5" s="227">
        <v>0.03</v>
      </c>
      <c r="J5" s="1042">
        <f>I5*D5+I6*D6+I7*D7+I8*D8+D9*I9</f>
        <v>3.5054000000000002E-2</v>
      </c>
      <c r="K5" s="221"/>
      <c r="L5" s="220"/>
      <c r="M5" s="222"/>
      <c r="N5" s="218"/>
      <c r="O5" s="218"/>
      <c r="P5" s="218"/>
    </row>
    <row r="6" spans="1:16" ht="24.95" customHeight="1">
      <c r="A6" s="1060" t="str">
        <f>참여업체!D5</f>
        <v>B</v>
      </c>
      <c r="B6" s="1061"/>
      <c r="C6" s="1061"/>
      <c r="D6" s="224">
        <f>참여업체!D6</f>
        <v>0.28000000000000003</v>
      </c>
      <c r="E6" s="225">
        <f>H44*D6</f>
        <v>0</v>
      </c>
      <c r="F6" s="226">
        <f>J54*D6</f>
        <v>0</v>
      </c>
      <c r="G6" s="226">
        <f>L61*D6</f>
        <v>0</v>
      </c>
      <c r="H6" s="1062"/>
      <c r="I6" s="227">
        <v>3.9600000000000003E-2</v>
      </c>
      <c r="J6" s="1043"/>
      <c r="K6" s="221"/>
      <c r="L6" s="220"/>
      <c r="M6" s="222"/>
      <c r="N6" s="218"/>
      <c r="O6" s="218"/>
      <c r="P6" s="218"/>
    </row>
    <row r="7" spans="1:16" ht="24.95" customHeight="1">
      <c r="A7" s="1065" t="str">
        <f>참여업체!E5</f>
        <v>C</v>
      </c>
      <c r="B7" s="1066"/>
      <c r="C7" s="1067"/>
      <c r="D7" s="224">
        <f>참여업체!E6</f>
        <v>0.14000000000000001</v>
      </c>
      <c r="E7" s="225">
        <f>H76*D7</f>
        <v>0</v>
      </c>
      <c r="F7" s="226">
        <f>J82*D7</f>
        <v>0</v>
      </c>
      <c r="G7" s="226">
        <v>0</v>
      </c>
      <c r="H7" s="1062"/>
      <c r="I7" s="227">
        <v>4.6899999999999997E-2</v>
      </c>
      <c r="J7" s="1043"/>
      <c r="K7" s="221"/>
      <c r="L7" s="220"/>
      <c r="M7" s="222"/>
      <c r="N7" s="218"/>
      <c r="O7" s="218"/>
      <c r="P7" s="218"/>
    </row>
    <row r="8" spans="1:16" ht="24.95" hidden="1" customHeight="1">
      <c r="A8" s="1065">
        <f>참여업체!F5</f>
        <v>0</v>
      </c>
      <c r="B8" s="1066"/>
      <c r="C8" s="1067"/>
      <c r="D8" s="224">
        <f>참여업체!F6</f>
        <v>0</v>
      </c>
      <c r="E8" s="225">
        <f>H106*D8</f>
        <v>0</v>
      </c>
      <c r="F8" s="226">
        <v>0</v>
      </c>
      <c r="G8" s="226">
        <v>0</v>
      </c>
      <c r="H8" s="1062"/>
      <c r="I8" s="227"/>
      <c r="J8" s="1043"/>
      <c r="K8" s="221"/>
      <c r="L8" s="220"/>
      <c r="M8" s="222"/>
      <c r="N8" s="218"/>
      <c r="O8" s="218"/>
      <c r="P8" s="218"/>
    </row>
    <row r="9" spans="1:16" ht="24.95" hidden="1" customHeight="1">
      <c r="A9" s="1065">
        <f>참여업체!G5</f>
        <v>0</v>
      </c>
      <c r="B9" s="1066"/>
      <c r="C9" s="1067"/>
      <c r="D9" s="224">
        <f>참여업체!G6</f>
        <v>0</v>
      </c>
      <c r="E9" s="225">
        <f>H212*D9</f>
        <v>0</v>
      </c>
      <c r="F9" s="226">
        <v>0</v>
      </c>
      <c r="G9" s="226">
        <v>0</v>
      </c>
      <c r="H9" s="1063"/>
      <c r="I9" s="228"/>
      <c r="J9" s="1043"/>
      <c r="K9" s="221"/>
      <c r="L9" s="220"/>
      <c r="M9" s="222"/>
      <c r="N9" s="218"/>
      <c r="O9" s="218"/>
      <c r="P9" s="218"/>
    </row>
    <row r="10" spans="1:16" ht="24.95" customHeight="1" thickBot="1">
      <c r="A10" s="1068" t="s">
        <v>80</v>
      </c>
      <c r="B10" s="1069"/>
      <c r="C10" s="1069"/>
      <c r="D10" s="1069"/>
      <c r="E10" s="229">
        <f>SUM(E5:E9)</f>
        <v>1.2566666666666666</v>
      </c>
      <c r="F10" s="230">
        <f>SUM(F5:F9)</f>
        <v>0.46399999999999997</v>
      </c>
      <c r="G10" s="230">
        <f>SUM(G5:G9)</f>
        <v>0</v>
      </c>
      <c r="H10" s="1064"/>
      <c r="I10" s="229"/>
      <c r="J10" s="1044"/>
      <c r="K10" s="221"/>
      <c r="L10" s="220"/>
      <c r="M10" s="222"/>
      <c r="N10" s="218"/>
      <c r="O10" s="218"/>
      <c r="P10" s="218"/>
    </row>
    <row r="11" spans="1:16" ht="24.95" customHeight="1">
      <c r="A11" s="231"/>
      <c r="B11" s="231"/>
      <c r="C11" s="218"/>
      <c r="D11" s="219"/>
      <c r="E11" s="220"/>
      <c r="F11" s="1081" t="s">
        <v>81</v>
      </c>
      <c r="G11" s="1081"/>
      <c r="H11" s="1081"/>
      <c r="I11" s="1081"/>
      <c r="J11" s="221"/>
      <c r="K11" s="221"/>
      <c r="L11" s="220"/>
      <c r="M11" s="222"/>
      <c r="N11" s="218"/>
      <c r="O11" s="218"/>
      <c r="P11" s="218"/>
    </row>
    <row r="12" spans="1:16" s="235" customFormat="1" ht="24.95" customHeight="1" thickBot="1">
      <c r="A12" s="1047" t="str">
        <f>A5</f>
        <v>A</v>
      </c>
      <c r="B12" s="1048"/>
      <c r="C12" s="1049"/>
      <c r="D12" s="232">
        <f>D5</f>
        <v>0.57999999999999996</v>
      </c>
      <c r="E12" s="233"/>
      <c r="F12" s="234"/>
      <c r="G12" s="234"/>
      <c r="H12" s="234"/>
      <c r="I12" s="234"/>
      <c r="O12" s="236"/>
    </row>
    <row r="13" spans="1:16" s="235" customFormat="1" ht="24.95" customHeight="1">
      <c r="A13" s="1082" t="s">
        <v>82</v>
      </c>
      <c r="B13" s="1083"/>
      <c r="C13" s="1083"/>
      <c r="D13" s="1083"/>
      <c r="E13" s="1083"/>
      <c r="F13" s="1084"/>
      <c r="G13" s="552" t="s">
        <v>83</v>
      </c>
      <c r="H13" s="553">
        <f>'자기평가서(2단계-종합기술제안서 정량평가)'!K4</f>
        <v>45972</v>
      </c>
      <c r="I13" s="234"/>
      <c r="N13" s="236"/>
      <c r="O13" s="236"/>
    </row>
    <row r="14" spans="1:16" s="242" customFormat="1" ht="33">
      <c r="A14" s="554" t="s">
        <v>84</v>
      </c>
      <c r="B14" s="239" t="s">
        <v>85</v>
      </c>
      <c r="C14" s="239" t="s">
        <v>86</v>
      </c>
      <c r="D14" s="239" t="s">
        <v>87</v>
      </c>
      <c r="E14" s="239" t="s">
        <v>88</v>
      </c>
      <c r="F14" s="240" t="s">
        <v>89</v>
      </c>
      <c r="G14" s="239" t="s">
        <v>90</v>
      </c>
      <c r="H14" s="555" t="s">
        <v>91</v>
      </c>
      <c r="I14" s="241"/>
    </row>
    <row r="15" spans="1:16" s="249" customFormat="1" ht="69" customHeight="1">
      <c r="A15" s="1057" t="s">
        <v>92</v>
      </c>
      <c r="B15" s="243">
        <v>111</v>
      </c>
      <c r="C15" s="606" t="s">
        <v>574</v>
      </c>
      <c r="D15" s="245">
        <v>44043</v>
      </c>
      <c r="E15" s="245">
        <v>46964</v>
      </c>
      <c r="F15" s="246">
        <v>2</v>
      </c>
      <c r="G15" s="247">
        <f t="shared" ref="G15:G17" si="0">IF(C15="","",IF(E15&gt;=$H$13,1,0))</f>
        <v>1</v>
      </c>
      <c r="H15" s="556">
        <f>IF(C15="","",2*G15/F15)</f>
        <v>1</v>
      </c>
      <c r="I15" s="234"/>
    </row>
    <row r="16" spans="1:16" s="249" customFormat="1" ht="69" customHeight="1">
      <c r="A16" s="1057"/>
      <c r="B16" s="243">
        <v>222</v>
      </c>
      <c r="C16" s="606" t="s">
        <v>575</v>
      </c>
      <c r="D16" s="245">
        <v>44463</v>
      </c>
      <c r="E16" s="245">
        <v>47026</v>
      </c>
      <c r="F16" s="246">
        <v>3</v>
      </c>
      <c r="G16" s="247">
        <f t="shared" si="0"/>
        <v>1</v>
      </c>
      <c r="H16" s="556">
        <f t="shared" ref="H16:H17" si="1">IF(C16="","",2*G16/F16)</f>
        <v>0.66666666666666663</v>
      </c>
      <c r="I16" s="234"/>
    </row>
    <row r="17" spans="1:20" ht="69" customHeight="1">
      <c r="A17" s="1057"/>
      <c r="B17" s="243">
        <v>123</v>
      </c>
      <c r="C17" s="606" t="s">
        <v>576</v>
      </c>
      <c r="D17" s="245">
        <v>44925</v>
      </c>
      <c r="E17" s="245">
        <v>47056</v>
      </c>
      <c r="F17" s="246">
        <v>4</v>
      </c>
      <c r="G17" s="247">
        <f t="shared" si="0"/>
        <v>1</v>
      </c>
      <c r="H17" s="556">
        <f t="shared" si="1"/>
        <v>0.5</v>
      </c>
      <c r="I17" s="234"/>
      <c r="J17" s="221"/>
      <c r="K17" s="221"/>
      <c r="L17" s="220"/>
      <c r="M17" s="222"/>
    </row>
    <row r="18" spans="1:20" ht="17.25" thickBot="1">
      <c r="A18" s="1058" t="s">
        <v>93</v>
      </c>
      <c r="B18" s="1059"/>
      <c r="C18" s="1059"/>
      <c r="D18" s="1059"/>
      <c r="E18" s="1059"/>
      <c r="F18" s="1059"/>
      <c r="G18" s="1059"/>
      <c r="H18" s="557">
        <f>SUM(H15:H17)</f>
        <v>2.1666666666666665</v>
      </c>
      <c r="I18" s="251"/>
      <c r="J18" s="223"/>
      <c r="K18" s="223"/>
      <c r="L18" s="223"/>
      <c r="M18" s="223"/>
    </row>
    <row r="19" spans="1:20" ht="12.75" customHeight="1">
      <c r="A19" s="218"/>
      <c r="B19" s="219"/>
      <c r="C19" s="236"/>
      <c r="D19" s="219"/>
      <c r="E19" s="220"/>
      <c r="F19" s="220"/>
      <c r="G19" s="221"/>
      <c r="H19" s="221"/>
      <c r="I19" s="221"/>
      <c r="J19" s="221"/>
      <c r="K19" s="221"/>
      <c r="L19" s="220"/>
      <c r="M19" s="222"/>
    </row>
    <row r="20" spans="1:20" ht="31.5">
      <c r="A20" s="998" t="s">
        <v>94</v>
      </c>
      <c r="B20" s="999"/>
      <c r="C20" s="999"/>
      <c r="D20" s="999"/>
      <c r="E20" s="999"/>
      <c r="F20" s="999"/>
      <c r="G20" s="999"/>
      <c r="H20" s="1000"/>
      <c r="I20" s="252" t="s">
        <v>95</v>
      </c>
      <c r="J20" s="238">
        <f>'자기평가서(2단계-종합기술제안서 정량평가)'!K4</f>
        <v>45972</v>
      </c>
      <c r="L20" s="223"/>
      <c r="M20" s="223"/>
    </row>
    <row r="21" spans="1:20" ht="33">
      <c r="A21" s="239" t="s">
        <v>84</v>
      </c>
      <c r="B21" s="239" t="s">
        <v>85</v>
      </c>
      <c r="C21" s="239" t="s">
        <v>96</v>
      </c>
      <c r="D21" s="239" t="s">
        <v>97</v>
      </c>
      <c r="E21" s="239" t="s">
        <v>88</v>
      </c>
      <c r="F21" s="239" t="s">
        <v>98</v>
      </c>
      <c r="G21" s="240" t="s">
        <v>99</v>
      </c>
      <c r="H21" s="240" t="s">
        <v>100</v>
      </c>
      <c r="I21" s="239" t="s">
        <v>90</v>
      </c>
      <c r="J21" s="239" t="s">
        <v>91</v>
      </c>
      <c r="L21" s="223"/>
      <c r="M21" s="223"/>
    </row>
    <row r="22" spans="1:20" ht="43.5" customHeight="1">
      <c r="A22" s="1039" t="s">
        <v>537</v>
      </c>
      <c r="B22" s="1004">
        <v>111</v>
      </c>
      <c r="C22" s="244">
        <v>2022</v>
      </c>
      <c r="D22" s="607" t="s">
        <v>574</v>
      </c>
      <c r="E22" s="245">
        <v>44993</v>
      </c>
      <c r="F22" s="254">
        <v>0.45</v>
      </c>
      <c r="G22" s="248">
        <f t="shared" ref="G22" si="2">1*F22</f>
        <v>0.45</v>
      </c>
      <c r="H22" s="255">
        <v>28.7</v>
      </c>
      <c r="I22" s="1007">
        <f>IF(C23="","",IF(OR(G23&gt;=5,H23&gt;=20),1,IF(OR(G23&gt;=4,H23&gt;=18),0.9,IF(OR(G23&gt;=3,H23&gt;=16),0.8,IF(OR(G23&gt;=2,H23&gt;=14),0.7,IF(OR(G23&gt;=1,H23&gt;=12),0.6,0))))))</f>
        <v>1</v>
      </c>
      <c r="J22" s="1010">
        <f>IF(C23="","",0.5*I22)</f>
        <v>0.5</v>
      </c>
      <c r="L22" s="256"/>
      <c r="M22" s="257"/>
      <c r="N22" s="257"/>
      <c r="O22" s="257"/>
      <c r="P22" s="257"/>
      <c r="Q22" s="257"/>
      <c r="R22" s="257"/>
      <c r="S22" s="257"/>
    </row>
    <row r="23" spans="1:20" ht="16.5">
      <c r="A23" s="1039"/>
      <c r="B23" s="1006"/>
      <c r="C23" s="1013" t="s">
        <v>507</v>
      </c>
      <c r="D23" s="1014"/>
      <c r="E23" s="1014"/>
      <c r="F23" s="1015"/>
      <c r="G23" s="258">
        <f>SUM(G22:G22)</f>
        <v>0.45</v>
      </c>
      <c r="H23" s="258">
        <f>SUM(H22:H22)</f>
        <v>28.7</v>
      </c>
      <c r="I23" s="1009"/>
      <c r="J23" s="1012"/>
      <c r="K23" s="1045"/>
      <c r="L23" s="1046"/>
      <c r="M23" s="1046"/>
      <c r="N23" s="1046"/>
      <c r="O23" s="1046"/>
      <c r="P23" s="1046"/>
      <c r="Q23" s="1046"/>
      <c r="R23" s="1046"/>
      <c r="S23" s="1046"/>
    </row>
    <row r="24" spans="1:20" ht="43.5" customHeight="1">
      <c r="A24" s="1039"/>
      <c r="B24" s="1004">
        <v>123</v>
      </c>
      <c r="C24" s="244">
        <v>2002</v>
      </c>
      <c r="D24" s="607" t="s">
        <v>577</v>
      </c>
      <c r="E24" s="245">
        <v>47473</v>
      </c>
      <c r="F24" s="254">
        <v>0.3</v>
      </c>
      <c r="G24" s="248">
        <f t="shared" ref="G24:G26" si="3">1*F24</f>
        <v>0.3</v>
      </c>
      <c r="H24" s="255">
        <v>0.73</v>
      </c>
      <c r="I24" s="1007">
        <f>IF(C27="","",IF(OR(G27&gt;=5,H27&gt;=20),1,IF(OR(G27&gt;=4,H27&gt;=18),0.9,IF(OR(G27&gt;=3,H27&gt;=16),0.8,IF(OR(G27&gt;=2,H27&gt;=14),0.7,IF(OR(G27&gt;=1,H27&gt;=12),0.6,0))))))</f>
        <v>0.6</v>
      </c>
      <c r="J24" s="1010">
        <f>IF(C27="","",0.5*I24)</f>
        <v>0.3</v>
      </c>
      <c r="L24" s="223"/>
      <c r="M24" s="223"/>
    </row>
    <row r="25" spans="1:20" ht="43.5" customHeight="1">
      <c r="A25" s="1039"/>
      <c r="B25" s="1005"/>
      <c r="C25" s="244">
        <v>2006</v>
      </c>
      <c r="D25" s="607" t="s">
        <v>578</v>
      </c>
      <c r="E25" s="245">
        <v>47473</v>
      </c>
      <c r="F25" s="254">
        <v>0.6</v>
      </c>
      <c r="G25" s="248">
        <f t="shared" si="3"/>
        <v>0.6</v>
      </c>
      <c r="H25" s="255">
        <v>1.07</v>
      </c>
      <c r="I25" s="1008"/>
      <c r="J25" s="1011"/>
      <c r="L25" s="223"/>
      <c r="M25" s="223"/>
    </row>
    <row r="26" spans="1:20" ht="43.5" customHeight="1">
      <c r="A26" s="1039"/>
      <c r="B26" s="1005"/>
      <c r="C26" s="244">
        <v>2010</v>
      </c>
      <c r="D26" s="607" t="s">
        <v>579</v>
      </c>
      <c r="E26" s="245">
        <v>47473</v>
      </c>
      <c r="F26" s="254">
        <v>0.4</v>
      </c>
      <c r="G26" s="248">
        <f t="shared" si="3"/>
        <v>0.4</v>
      </c>
      <c r="H26" s="255">
        <v>1.42</v>
      </c>
      <c r="I26" s="1008"/>
      <c r="J26" s="1011"/>
      <c r="L26" s="223"/>
      <c r="M26" s="223"/>
    </row>
    <row r="27" spans="1:20" ht="16.5">
      <c r="A27" s="1039"/>
      <c r="B27" s="1006"/>
      <c r="C27" s="1013" t="s">
        <v>508</v>
      </c>
      <c r="D27" s="1014"/>
      <c r="E27" s="1014"/>
      <c r="F27" s="1015"/>
      <c r="G27" s="258">
        <f>SUM(G24:G26)</f>
        <v>1.2999999999999998</v>
      </c>
      <c r="H27" s="258">
        <f>SUM(H24:H26)</f>
        <v>3.2199999999999998</v>
      </c>
      <c r="I27" s="1009"/>
      <c r="J27" s="1012"/>
      <c r="L27" s="223"/>
      <c r="M27" s="223"/>
    </row>
    <row r="28" spans="1:20" ht="16.5">
      <c r="A28" s="1031" t="s">
        <v>103</v>
      </c>
      <c r="B28" s="1032"/>
      <c r="C28" s="1032"/>
      <c r="D28" s="1032"/>
      <c r="E28" s="1032"/>
      <c r="F28" s="1032"/>
      <c r="G28" s="1032"/>
      <c r="H28" s="1032"/>
      <c r="I28" s="1033"/>
      <c r="J28" s="261">
        <f>SUM(J22:J27)</f>
        <v>0.8</v>
      </c>
      <c r="L28" s="1034"/>
      <c r="M28" s="1034"/>
      <c r="N28" s="1034"/>
      <c r="O28" s="1034"/>
      <c r="P28" s="1034"/>
      <c r="Q28" s="1034"/>
      <c r="R28" s="1034"/>
      <c r="S28" s="1034"/>
      <c r="T28" s="1034"/>
    </row>
    <row r="29" spans="1:20" ht="16.5">
      <c r="A29" s="262"/>
      <c r="B29" s="262"/>
      <c r="C29" s="262"/>
      <c r="D29" s="262"/>
      <c r="E29" s="262"/>
      <c r="F29" s="262"/>
      <c r="G29" s="262"/>
      <c r="H29" s="262"/>
      <c r="I29" s="262"/>
      <c r="J29" s="262"/>
      <c r="K29" s="263"/>
      <c r="L29" s="1034"/>
      <c r="M29" s="1034"/>
      <c r="N29" s="1034"/>
      <c r="O29" s="1034"/>
      <c r="P29" s="1034"/>
      <c r="Q29" s="1034"/>
      <c r="R29" s="1034"/>
      <c r="S29" s="1034"/>
      <c r="T29" s="1034"/>
    </row>
    <row r="30" spans="1:20" ht="12" customHeight="1">
      <c r="A30" s="223"/>
      <c r="B30" s="219"/>
      <c r="C30" s="219"/>
      <c r="D30" s="219"/>
      <c r="E30" s="220"/>
      <c r="F30" s="220"/>
      <c r="G30" s="221"/>
      <c r="H30" s="221"/>
      <c r="I30" s="221"/>
      <c r="J30" s="221"/>
      <c r="K30" s="221"/>
      <c r="L30" s="220"/>
      <c r="M30" s="222"/>
    </row>
    <row r="31" spans="1:20" ht="31.5">
      <c r="A31" s="998" t="s">
        <v>104</v>
      </c>
      <c r="B31" s="999"/>
      <c r="C31" s="999"/>
      <c r="D31" s="999"/>
      <c r="E31" s="999"/>
      <c r="F31" s="999"/>
      <c r="G31" s="999"/>
      <c r="H31" s="999"/>
      <c r="I31" s="999"/>
      <c r="J31" s="1000"/>
      <c r="K31" s="252" t="s">
        <v>83</v>
      </c>
      <c r="L31" s="238">
        <f>'자기평가서(2단계-종합기술제안서 정량평가)'!K4</f>
        <v>45972</v>
      </c>
    </row>
    <row r="32" spans="1:20" ht="33">
      <c r="A32" s="239" t="s">
        <v>84</v>
      </c>
      <c r="B32" s="239" t="s">
        <v>105</v>
      </c>
      <c r="C32" s="239" t="s">
        <v>97</v>
      </c>
      <c r="D32" s="239" t="s">
        <v>87</v>
      </c>
      <c r="E32" s="239" t="s">
        <v>106</v>
      </c>
      <c r="F32" s="239" t="s">
        <v>98</v>
      </c>
      <c r="G32" s="240" t="s">
        <v>99</v>
      </c>
      <c r="H32" s="240" t="s">
        <v>107</v>
      </c>
      <c r="I32" s="239" t="s">
        <v>108</v>
      </c>
      <c r="J32" s="239" t="s">
        <v>109</v>
      </c>
      <c r="K32" s="239" t="s">
        <v>110</v>
      </c>
      <c r="L32" s="239" t="s">
        <v>91</v>
      </c>
    </row>
    <row r="33" spans="1:14" ht="16.5">
      <c r="A33" s="1055" t="s">
        <v>111</v>
      </c>
      <c r="B33" s="1018"/>
      <c r="C33" s="244" t="s">
        <v>509</v>
      </c>
      <c r="D33" s="591"/>
      <c r="E33" s="591"/>
      <c r="F33" s="265"/>
      <c r="G33" s="248">
        <f>1*F33</f>
        <v>0</v>
      </c>
      <c r="H33" s="246"/>
      <c r="I33" s="1024">
        <f>ROUNDDOWN(($L$31-D33)/365,1)</f>
        <v>125.9</v>
      </c>
      <c r="J33" s="1024">
        <f>IF(C33="","",IF(AND(I33&lt;20,I33&gt;=10),0.6,IF(AND(I33&lt;10,I33&gt;=5),0.8,IF(I33&lt;5,1,0))))</f>
        <v>0</v>
      </c>
      <c r="K33" s="1024">
        <f>IF(C34="","",IF(OR(G34&gt;=5,H34&gt;=20),1,IF(OR(G34&gt;=4,H34&gt;=18),0.9,IF(OR(G34&gt;=3,H34&gt;=16),0.8,IF(OR(G34&gt;=2,H34&gt;=14),0.7,IF(OR(G34&gt;=1,H34&gt;=12),0.6,0))))))</f>
        <v>0</v>
      </c>
      <c r="L33" s="1016">
        <f>IF(C33="","",0.3*J33*K33)</f>
        <v>0</v>
      </c>
    </row>
    <row r="34" spans="1:14" ht="12" customHeight="1">
      <c r="A34" s="1056"/>
      <c r="B34" s="1020"/>
      <c r="C34" s="1028" t="s">
        <v>102</v>
      </c>
      <c r="D34" s="1029"/>
      <c r="E34" s="1029"/>
      <c r="F34" s="1030"/>
      <c r="G34" s="248">
        <f>SUM(G33:G33)</f>
        <v>0</v>
      </c>
      <c r="H34" s="248">
        <f>SUM(H33:H33)</f>
        <v>0</v>
      </c>
      <c r="I34" s="1026"/>
      <c r="J34" s="1026"/>
      <c r="K34" s="1026"/>
      <c r="L34" s="1017"/>
      <c r="N34" s="259" t="s">
        <v>101</v>
      </c>
    </row>
    <row r="35" spans="1:14" ht="12" customHeight="1">
      <c r="A35" s="1031" t="s">
        <v>103</v>
      </c>
      <c r="B35" s="1032"/>
      <c r="C35" s="1032"/>
      <c r="D35" s="1032"/>
      <c r="E35" s="1032"/>
      <c r="F35" s="1032"/>
      <c r="G35" s="1032"/>
      <c r="H35" s="1032"/>
      <c r="I35" s="1032"/>
      <c r="J35" s="1032"/>
      <c r="K35" s="1033"/>
      <c r="L35" s="261">
        <f>IF(SUM(L33:L34)&gt;1,1,SUM(L33:L34))</f>
        <v>0</v>
      </c>
    </row>
    <row r="36" spans="1:14" ht="12" customHeight="1">
      <c r="A36" s="223"/>
      <c r="B36" s="219"/>
      <c r="C36" s="219"/>
      <c r="D36" s="219"/>
      <c r="E36" s="220"/>
      <c r="F36" s="220"/>
      <c r="G36" s="221"/>
      <c r="H36" s="221"/>
      <c r="I36" s="221"/>
      <c r="J36" s="221"/>
      <c r="K36" s="221"/>
      <c r="L36" s="220"/>
      <c r="M36" s="222"/>
    </row>
    <row r="37" spans="1:14" s="266" customFormat="1" ht="12" customHeight="1">
      <c r="B37" s="267"/>
      <c r="C37" s="267"/>
      <c r="D37" s="267"/>
      <c r="E37" s="268"/>
      <c r="F37" s="268"/>
      <c r="G37" s="269"/>
      <c r="H37" s="269"/>
      <c r="I37" s="269"/>
      <c r="J37" s="269"/>
      <c r="K37" s="269"/>
      <c r="L37" s="268"/>
      <c r="M37" s="270"/>
    </row>
    <row r="38" spans="1:14" ht="12" customHeight="1">
      <c r="A38" s="223"/>
      <c r="B38" s="219"/>
      <c r="C38" s="219"/>
      <c r="D38" s="219"/>
      <c r="E38" s="220"/>
      <c r="F38" s="220"/>
      <c r="G38" s="221"/>
      <c r="H38" s="221"/>
      <c r="I38" s="221"/>
      <c r="J38" s="221"/>
      <c r="K38" s="221"/>
      <c r="L38" s="220"/>
      <c r="M38" s="222"/>
    </row>
    <row r="39" spans="1:14" ht="26.25">
      <c r="A39" s="1047" t="str">
        <f>A6</f>
        <v>B</v>
      </c>
      <c r="B39" s="1048"/>
      <c r="C39" s="1049"/>
      <c r="D39" s="232">
        <f>D6</f>
        <v>0.28000000000000003</v>
      </c>
      <c r="E39" s="233"/>
      <c r="F39" s="233"/>
      <c r="G39" s="234"/>
      <c r="H39" s="234"/>
      <c r="I39" s="234"/>
      <c r="J39" s="234"/>
      <c r="K39" s="234"/>
      <c r="L39" s="235"/>
      <c r="M39" s="235"/>
    </row>
    <row r="40" spans="1:14" ht="31.5">
      <c r="A40" s="998" t="s">
        <v>82</v>
      </c>
      <c r="B40" s="999"/>
      <c r="C40" s="999"/>
      <c r="D40" s="999"/>
      <c r="E40" s="999"/>
      <c r="F40" s="1000"/>
      <c r="G40" s="237" t="s">
        <v>83</v>
      </c>
      <c r="H40" s="238">
        <f>'자기평가서(2단계-종합기술제안서 정량평가)'!K4</f>
        <v>45972</v>
      </c>
      <c r="J40" s="221"/>
      <c r="K40" s="234"/>
      <c r="L40" s="235"/>
      <c r="M40" s="235"/>
    </row>
    <row r="41" spans="1:14" ht="33">
      <c r="A41" s="239" t="s">
        <v>84</v>
      </c>
      <c r="B41" s="239" t="s">
        <v>85</v>
      </c>
      <c r="C41" s="239" t="s">
        <v>86</v>
      </c>
      <c r="D41" s="239" t="s">
        <v>87</v>
      </c>
      <c r="E41" s="239" t="s">
        <v>88</v>
      </c>
      <c r="F41" s="240" t="s">
        <v>89</v>
      </c>
      <c r="G41" s="239" t="s">
        <v>90</v>
      </c>
      <c r="H41" s="239" t="s">
        <v>91</v>
      </c>
      <c r="J41" s="221"/>
      <c r="K41" s="241"/>
      <c r="L41" s="242"/>
      <c r="M41" s="242"/>
    </row>
    <row r="42" spans="1:14" ht="69" customHeight="1">
      <c r="A42" s="1038" t="s">
        <v>92</v>
      </c>
      <c r="B42" s="243"/>
      <c r="C42" s="606"/>
      <c r="D42" s="245"/>
      <c r="E42" s="245"/>
      <c r="F42" s="246"/>
      <c r="G42" s="247"/>
      <c r="H42" s="248"/>
      <c r="J42" s="221"/>
      <c r="K42" s="234"/>
      <c r="L42" s="249"/>
      <c r="M42" s="249"/>
    </row>
    <row r="43" spans="1:14" ht="69" customHeight="1">
      <c r="A43" s="1038"/>
      <c r="B43" s="243"/>
      <c r="C43" s="606"/>
      <c r="D43" s="245"/>
      <c r="E43" s="245"/>
      <c r="F43" s="246"/>
      <c r="G43" s="247"/>
      <c r="H43" s="248"/>
      <c r="J43" s="221"/>
      <c r="K43" s="234"/>
      <c r="L43" s="249"/>
      <c r="M43" s="249"/>
    </row>
    <row r="44" spans="1:14" ht="16.5">
      <c r="A44" s="1031" t="s">
        <v>103</v>
      </c>
      <c r="B44" s="1032"/>
      <c r="C44" s="1032"/>
      <c r="D44" s="1032"/>
      <c r="E44" s="1032"/>
      <c r="F44" s="1032"/>
      <c r="G44" s="1033"/>
      <c r="H44" s="250">
        <f>SUM(H42:H43)</f>
        <v>0</v>
      </c>
      <c r="J44" s="221"/>
      <c r="K44" s="251"/>
      <c r="L44" s="223"/>
      <c r="M44" s="223"/>
    </row>
    <row r="45" spans="1:14" ht="31.5">
      <c r="A45" s="218"/>
      <c r="B45" s="219"/>
      <c r="C45" s="236"/>
      <c r="D45" s="219"/>
      <c r="E45" s="220"/>
      <c r="F45" s="220"/>
      <c r="G45" s="221"/>
      <c r="H45" s="221"/>
      <c r="I45" s="221"/>
      <c r="J45" s="221"/>
      <c r="K45" s="221"/>
      <c r="L45" s="220"/>
      <c r="M45" s="222"/>
    </row>
    <row r="46" spans="1:14" ht="31.5">
      <c r="A46" s="998" t="s">
        <v>112</v>
      </c>
      <c r="B46" s="999"/>
      <c r="C46" s="999"/>
      <c r="D46" s="999"/>
      <c r="E46" s="999"/>
      <c r="F46" s="999"/>
      <c r="G46" s="999"/>
      <c r="H46" s="1000"/>
      <c r="I46" s="252" t="s">
        <v>83</v>
      </c>
      <c r="J46" s="238">
        <f>'자기평가서(2단계-종합기술제안서 정량평가)'!K4</f>
        <v>45972</v>
      </c>
      <c r="L46" s="223"/>
      <c r="M46" s="223"/>
    </row>
    <row r="47" spans="1:14" ht="33">
      <c r="A47" s="239" t="s">
        <v>84</v>
      </c>
      <c r="B47" s="239" t="s">
        <v>85</v>
      </c>
      <c r="C47" s="239" t="s">
        <v>96</v>
      </c>
      <c r="D47" s="239" t="s">
        <v>97</v>
      </c>
      <c r="E47" s="239" t="s">
        <v>88</v>
      </c>
      <c r="F47" s="239" t="s">
        <v>98</v>
      </c>
      <c r="G47" s="240" t="s">
        <v>99</v>
      </c>
      <c r="H47" s="240" t="s">
        <v>100</v>
      </c>
      <c r="I47" s="239" t="s">
        <v>90</v>
      </c>
      <c r="J47" s="239" t="s">
        <v>91</v>
      </c>
      <c r="L47" s="223"/>
      <c r="M47" s="223"/>
    </row>
    <row r="48" spans="1:14" ht="43.5" customHeight="1">
      <c r="A48" s="1039" t="s">
        <v>92</v>
      </c>
      <c r="B48" s="1004"/>
      <c r="C48" s="244"/>
      <c r="D48" s="607"/>
      <c r="E48" s="245"/>
      <c r="F48" s="254"/>
      <c r="G48" s="271"/>
      <c r="H48" s="255"/>
      <c r="I48" s="1007"/>
      <c r="J48" s="1010"/>
      <c r="K48" s="259"/>
      <c r="L48" s="220"/>
      <c r="M48" s="223"/>
    </row>
    <row r="49" spans="1:20" ht="16.5">
      <c r="A49" s="1039"/>
      <c r="B49" s="1006"/>
      <c r="C49" s="1013"/>
      <c r="D49" s="1014"/>
      <c r="E49" s="1014"/>
      <c r="F49" s="1015"/>
      <c r="G49" s="272"/>
      <c r="H49" s="272"/>
      <c r="I49" s="1009"/>
      <c r="J49" s="1012"/>
      <c r="K49" s="259"/>
      <c r="L49" s="220"/>
      <c r="M49" s="223"/>
    </row>
    <row r="50" spans="1:20" ht="43.5" customHeight="1">
      <c r="A50" s="1038"/>
      <c r="B50" s="1004"/>
      <c r="C50" s="244"/>
      <c r="D50" s="607"/>
      <c r="E50" s="245"/>
      <c r="F50" s="254"/>
      <c r="G50" s="271"/>
      <c r="H50" s="255"/>
      <c r="I50" s="1007"/>
      <c r="J50" s="1010"/>
      <c r="L50" s="220"/>
      <c r="M50" s="223"/>
    </row>
    <row r="51" spans="1:20" ht="16.5">
      <c r="A51" s="1038"/>
      <c r="B51" s="1006"/>
      <c r="C51" s="1013"/>
      <c r="D51" s="1014"/>
      <c r="E51" s="1014"/>
      <c r="F51" s="1015"/>
      <c r="G51" s="272"/>
      <c r="H51" s="272"/>
      <c r="I51" s="1009"/>
      <c r="J51" s="1012"/>
      <c r="L51" s="259"/>
      <c r="M51" s="223"/>
    </row>
    <row r="52" spans="1:20" ht="43.5" customHeight="1">
      <c r="A52" s="1038"/>
      <c r="B52" s="1004"/>
      <c r="C52" s="244"/>
      <c r="D52" s="607"/>
      <c r="E52" s="245"/>
      <c r="F52" s="254"/>
      <c r="G52" s="271"/>
      <c r="H52" s="255"/>
      <c r="I52" s="1007"/>
      <c r="J52" s="1010"/>
      <c r="L52" s="259"/>
      <c r="M52" s="223"/>
    </row>
    <row r="53" spans="1:20" ht="16.5">
      <c r="A53" s="1038"/>
      <c r="B53" s="1006"/>
      <c r="C53" s="1013"/>
      <c r="D53" s="1014"/>
      <c r="E53" s="1014"/>
      <c r="F53" s="1015"/>
      <c r="G53" s="272"/>
      <c r="H53" s="272"/>
      <c r="I53" s="1009"/>
      <c r="J53" s="1012"/>
      <c r="L53" s="259"/>
      <c r="M53" s="223"/>
    </row>
    <row r="54" spans="1:20" ht="16.5">
      <c r="A54" s="1031" t="s">
        <v>103</v>
      </c>
      <c r="B54" s="1032"/>
      <c r="C54" s="1032"/>
      <c r="D54" s="1032"/>
      <c r="E54" s="1032"/>
      <c r="F54" s="1032"/>
      <c r="G54" s="1032"/>
      <c r="H54" s="1032"/>
      <c r="I54" s="1033"/>
      <c r="J54" s="261">
        <f>SUM(J48:J53)</f>
        <v>0</v>
      </c>
      <c r="L54" s="1034"/>
      <c r="M54" s="1034"/>
      <c r="N54" s="1034"/>
      <c r="O54" s="1034"/>
      <c r="P54" s="1034"/>
      <c r="Q54" s="1034"/>
      <c r="R54" s="1034"/>
      <c r="S54" s="1034"/>
      <c r="T54" s="1034"/>
    </row>
    <row r="55" spans="1:20" ht="16.5">
      <c r="A55" s="262"/>
      <c r="B55" s="262"/>
      <c r="C55" s="262"/>
      <c r="D55" s="262"/>
      <c r="E55" s="262"/>
      <c r="F55" s="262"/>
      <c r="G55" s="262"/>
      <c r="H55" s="262"/>
      <c r="I55" s="262"/>
      <c r="J55" s="262"/>
      <c r="K55" s="263"/>
      <c r="L55" s="1034"/>
      <c r="M55" s="1034"/>
      <c r="N55" s="1034"/>
      <c r="O55" s="1034"/>
      <c r="P55" s="1034"/>
      <c r="Q55" s="1034"/>
      <c r="R55" s="1034"/>
      <c r="S55" s="1034"/>
      <c r="T55" s="1034"/>
    </row>
    <row r="56" spans="1:20" ht="16.5">
      <c r="A56" s="223"/>
      <c r="B56" s="219"/>
      <c r="C56" s="219"/>
      <c r="D56" s="219"/>
      <c r="E56" s="220"/>
      <c r="F56" s="220"/>
      <c r="G56" s="221"/>
      <c r="H56" s="221"/>
      <c r="I56" s="221"/>
      <c r="J56" s="221"/>
      <c r="K56" s="221"/>
      <c r="L56" s="220"/>
      <c r="M56" s="222"/>
    </row>
    <row r="57" spans="1:20" ht="31.5">
      <c r="A57" s="1053" t="s">
        <v>104</v>
      </c>
      <c r="B57" s="1053"/>
      <c r="C57" s="1053"/>
      <c r="D57" s="1053"/>
      <c r="E57" s="1053"/>
      <c r="F57" s="1053"/>
      <c r="G57" s="1053"/>
      <c r="H57" s="1053"/>
      <c r="I57" s="1053"/>
      <c r="J57" s="1054"/>
      <c r="K57" s="237" t="s">
        <v>83</v>
      </c>
      <c r="L57" s="238">
        <f>'자기평가서(2단계-종합기술제안서 정량평가)'!K4</f>
        <v>45972</v>
      </c>
    </row>
    <row r="58" spans="1:20" ht="33">
      <c r="A58" s="239" t="s">
        <v>84</v>
      </c>
      <c r="B58" s="239" t="s">
        <v>105</v>
      </c>
      <c r="C58" s="239" t="s">
        <v>97</v>
      </c>
      <c r="D58" s="239" t="s">
        <v>87</v>
      </c>
      <c r="E58" s="239" t="s">
        <v>106</v>
      </c>
      <c r="F58" s="239" t="s">
        <v>98</v>
      </c>
      <c r="G58" s="240" t="s">
        <v>99</v>
      </c>
      <c r="H58" s="240" t="s">
        <v>107</v>
      </c>
      <c r="I58" s="239" t="s">
        <v>108</v>
      </c>
      <c r="J58" s="239" t="s">
        <v>109</v>
      </c>
      <c r="K58" s="239" t="s">
        <v>110</v>
      </c>
      <c r="L58" s="239" t="s">
        <v>91</v>
      </c>
    </row>
    <row r="59" spans="1:20" ht="16.5">
      <c r="A59" s="1035" t="s">
        <v>113</v>
      </c>
      <c r="B59" s="1018"/>
      <c r="C59" s="244" t="s">
        <v>509</v>
      </c>
      <c r="D59" s="591"/>
      <c r="E59" s="591"/>
      <c r="F59" s="265"/>
      <c r="G59" s="248">
        <f>1*F59</f>
        <v>0</v>
      </c>
      <c r="H59" s="246"/>
      <c r="I59" s="1024">
        <f>ROUNDDOWN(($L$31-D59)/365,1)</f>
        <v>125.9</v>
      </c>
      <c r="J59" s="1024">
        <f>IF(C59="","",IF(AND(I59&lt;20,I59&gt;=10),0.6,IF(AND(I59&lt;10,I59&gt;=5),0.8,IF(I59&lt;5,1,0))))</f>
        <v>0</v>
      </c>
      <c r="K59" s="1024">
        <f>IF(C60="","",IF(OR(G60&gt;=5,H60&gt;=20),1,IF(OR(G60&gt;=4,H60&gt;=18),0.9,IF(OR(G60&gt;=3,H60&gt;=16),0.8,IF(OR(G60&gt;=2,H60&gt;=14),0.7,IF(OR(G60&gt;=1,H60&gt;=12),0.6,0))))))</f>
        <v>0</v>
      </c>
      <c r="L59" s="1016">
        <f>IF(C59="","",0.3*J59*K59)</f>
        <v>0</v>
      </c>
    </row>
    <row r="60" spans="1:20" ht="16.5">
      <c r="A60" s="1036"/>
      <c r="B60" s="1020"/>
      <c r="C60" s="1028" t="s">
        <v>102</v>
      </c>
      <c r="D60" s="1029"/>
      <c r="E60" s="1029"/>
      <c r="F60" s="1030"/>
      <c r="G60" s="248">
        <f>SUM(G59:G59)</f>
        <v>0</v>
      </c>
      <c r="H60" s="248">
        <f>SUM(H59:H59)</f>
        <v>0</v>
      </c>
      <c r="I60" s="1026"/>
      <c r="J60" s="1026"/>
      <c r="K60" s="1026"/>
      <c r="L60" s="1017"/>
    </row>
    <row r="61" spans="1:20" ht="12" customHeight="1">
      <c r="A61" s="1031" t="s">
        <v>103</v>
      </c>
      <c r="B61" s="1032"/>
      <c r="C61" s="1032"/>
      <c r="D61" s="1032"/>
      <c r="E61" s="1032"/>
      <c r="F61" s="1032"/>
      <c r="G61" s="1032"/>
      <c r="H61" s="1032"/>
      <c r="I61" s="1032"/>
      <c r="J61" s="1032"/>
      <c r="K61" s="1033"/>
      <c r="L61" s="261">
        <f>IF(SUM(L59:L60)&gt;1,1,SUM(L59:L60))</f>
        <v>0</v>
      </c>
    </row>
    <row r="62" spans="1:20" ht="12" customHeight="1">
      <c r="A62" s="223"/>
      <c r="B62" s="219"/>
      <c r="C62" s="219"/>
      <c r="D62" s="219"/>
      <c r="E62" s="220"/>
      <c r="F62" s="220"/>
      <c r="G62" s="221"/>
      <c r="H62" s="221"/>
      <c r="I62" s="221"/>
      <c r="J62" s="221"/>
      <c r="K62" s="221"/>
      <c r="L62" s="220"/>
      <c r="M62" s="222"/>
    </row>
    <row r="63" spans="1:20" s="266" customFormat="1" ht="12" customHeight="1">
      <c r="B63" s="267"/>
      <c r="C63" s="267"/>
      <c r="D63" s="267"/>
      <c r="E63" s="268"/>
      <c r="F63" s="268"/>
      <c r="G63" s="269"/>
      <c r="H63" s="269"/>
      <c r="I63" s="269"/>
      <c r="J63" s="269"/>
      <c r="K63" s="269"/>
      <c r="L63" s="268"/>
      <c r="M63" s="270"/>
    </row>
    <row r="64" spans="1:20" ht="12" customHeight="1">
      <c r="A64" s="223"/>
      <c r="B64" s="219"/>
      <c r="C64" s="219"/>
      <c r="D64" s="219"/>
      <c r="E64" s="220"/>
      <c r="F64" s="220"/>
      <c r="G64" s="221"/>
      <c r="H64" s="221"/>
      <c r="I64" s="221"/>
      <c r="J64" s="221"/>
      <c r="K64" s="221"/>
      <c r="L64" s="220"/>
      <c r="M64" s="222"/>
    </row>
    <row r="65" spans="1:13" ht="26.25">
      <c r="A65" s="1047" t="str">
        <f>A7</f>
        <v>C</v>
      </c>
      <c r="B65" s="1048"/>
      <c r="C65" s="1049"/>
      <c r="D65" s="232">
        <f>D7</f>
        <v>0.14000000000000001</v>
      </c>
      <c r="E65" s="233"/>
      <c r="F65" s="233"/>
      <c r="G65" s="234"/>
      <c r="H65" s="234"/>
      <c r="I65" s="234"/>
      <c r="J65" s="234"/>
      <c r="K65" s="234"/>
      <c r="L65" s="235"/>
      <c r="M65" s="235"/>
    </row>
    <row r="66" spans="1:13" ht="31.5">
      <c r="A66" s="998" t="s">
        <v>82</v>
      </c>
      <c r="B66" s="999"/>
      <c r="C66" s="999"/>
      <c r="D66" s="999"/>
      <c r="E66" s="999"/>
      <c r="F66" s="1000"/>
      <c r="G66" s="237" t="s">
        <v>83</v>
      </c>
      <c r="H66" s="238">
        <f>'자기평가서(2단계-종합기술제안서 정량평가)'!K4</f>
        <v>45972</v>
      </c>
      <c r="J66" s="221"/>
      <c r="K66" s="234"/>
      <c r="L66" s="235"/>
      <c r="M66" s="235"/>
    </row>
    <row r="67" spans="1:13" ht="33">
      <c r="A67" s="239" t="s">
        <v>84</v>
      </c>
      <c r="B67" s="239" t="s">
        <v>85</v>
      </c>
      <c r="C67" s="239" t="s">
        <v>86</v>
      </c>
      <c r="D67" s="239" t="s">
        <v>87</v>
      </c>
      <c r="E67" s="239" t="s">
        <v>88</v>
      </c>
      <c r="F67" s="240" t="s">
        <v>89</v>
      </c>
      <c r="G67" s="239" t="s">
        <v>90</v>
      </c>
      <c r="H67" s="239" t="s">
        <v>91</v>
      </c>
      <c r="J67" s="221"/>
      <c r="K67" s="241"/>
      <c r="L67" s="242"/>
      <c r="M67" s="242"/>
    </row>
    <row r="68" spans="1:13" ht="69" customHeight="1">
      <c r="A68" s="1050" t="s">
        <v>92</v>
      </c>
      <c r="B68" s="243"/>
      <c r="C68" s="606"/>
      <c r="D68" s="245"/>
      <c r="E68" s="245"/>
      <c r="F68" s="246"/>
      <c r="G68" s="247"/>
      <c r="H68" s="248"/>
      <c r="J68" s="221"/>
      <c r="K68" s="234"/>
      <c r="L68" s="249"/>
      <c r="M68" s="249"/>
    </row>
    <row r="69" spans="1:13" ht="69" customHeight="1">
      <c r="A69" s="1051"/>
      <c r="B69" s="243"/>
      <c r="C69" s="606"/>
      <c r="D69" s="245"/>
      <c r="E69" s="245"/>
      <c r="F69" s="246"/>
      <c r="G69" s="247"/>
      <c r="H69" s="248"/>
      <c r="J69" s="221"/>
      <c r="K69" s="234"/>
      <c r="L69" s="249"/>
      <c r="M69" s="249"/>
    </row>
    <row r="70" spans="1:13" ht="69" customHeight="1">
      <c r="A70" s="1051"/>
      <c r="B70" s="243"/>
      <c r="C70" s="606"/>
      <c r="D70" s="245"/>
      <c r="E70" s="245"/>
      <c r="F70" s="246"/>
      <c r="G70" s="247"/>
      <c r="H70" s="248"/>
      <c r="J70" s="221"/>
      <c r="K70" s="234"/>
      <c r="L70" s="220"/>
      <c r="M70" s="222"/>
    </row>
    <row r="71" spans="1:13" ht="69" customHeight="1">
      <c r="A71" s="1051"/>
      <c r="B71" s="243"/>
      <c r="C71" s="606"/>
      <c r="D71" s="245"/>
      <c r="E71" s="245"/>
      <c r="F71" s="246"/>
      <c r="G71" s="247"/>
      <c r="H71" s="248"/>
      <c r="J71" s="221"/>
      <c r="K71" s="234"/>
      <c r="L71" s="220"/>
      <c r="M71" s="222"/>
    </row>
    <row r="72" spans="1:13" ht="69" customHeight="1">
      <c r="A72" s="1051"/>
      <c r="B72" s="243"/>
      <c r="C72" s="606"/>
      <c r="D72" s="245"/>
      <c r="E72" s="245"/>
      <c r="F72" s="246"/>
      <c r="G72" s="247"/>
      <c r="H72" s="248"/>
      <c r="J72" s="221"/>
      <c r="K72" s="234"/>
      <c r="L72" s="249"/>
      <c r="M72" s="249"/>
    </row>
    <row r="73" spans="1:13" ht="69" customHeight="1">
      <c r="A73" s="1051"/>
      <c r="B73" s="243"/>
      <c r="C73" s="606"/>
      <c r="D73" s="245"/>
      <c r="E73" s="245"/>
      <c r="F73" s="246"/>
      <c r="G73" s="247"/>
      <c r="H73" s="248"/>
      <c r="J73" s="221"/>
      <c r="K73" s="234"/>
      <c r="L73" s="249"/>
      <c r="M73" s="249"/>
    </row>
    <row r="74" spans="1:13" ht="69" customHeight="1">
      <c r="A74" s="1051"/>
      <c r="B74" s="243"/>
      <c r="C74" s="606"/>
      <c r="D74" s="245"/>
      <c r="E74" s="245"/>
      <c r="F74" s="246"/>
      <c r="G74" s="247"/>
      <c r="H74" s="248"/>
      <c r="J74" s="221"/>
      <c r="K74" s="234"/>
      <c r="L74" s="249"/>
      <c r="M74" s="249"/>
    </row>
    <row r="75" spans="1:13" ht="69" customHeight="1">
      <c r="A75" s="1052"/>
      <c r="B75" s="243"/>
      <c r="C75" s="606"/>
      <c r="D75" s="245"/>
      <c r="E75" s="245"/>
      <c r="F75" s="246"/>
      <c r="G75" s="247"/>
      <c r="H75" s="248"/>
      <c r="J75" s="221"/>
      <c r="K75" s="234"/>
      <c r="L75" s="249"/>
      <c r="M75" s="249"/>
    </row>
    <row r="76" spans="1:13" ht="12" customHeight="1">
      <c r="A76" s="1031" t="s">
        <v>103</v>
      </c>
      <c r="B76" s="1032"/>
      <c r="C76" s="1032"/>
      <c r="D76" s="1032"/>
      <c r="E76" s="1032"/>
      <c r="F76" s="1032"/>
      <c r="G76" s="1033"/>
      <c r="H76" s="250">
        <f>SUM(H68:H75)</f>
        <v>0</v>
      </c>
      <c r="J76" s="221"/>
      <c r="K76" s="251"/>
      <c r="L76" s="223"/>
      <c r="M76" s="223"/>
    </row>
    <row r="77" spans="1:13" ht="12" customHeight="1">
      <c r="A77" s="218"/>
      <c r="B77" s="219"/>
      <c r="C77" s="236"/>
      <c r="D77" s="219"/>
      <c r="E77" s="220"/>
      <c r="F77" s="220"/>
      <c r="G77" s="221"/>
      <c r="H77" s="221"/>
      <c r="I77" s="221"/>
      <c r="J77" s="221"/>
      <c r="K77" s="221"/>
      <c r="L77" s="220"/>
      <c r="M77" s="222"/>
    </row>
    <row r="78" spans="1:13" ht="31.5">
      <c r="A78" s="998" t="s">
        <v>112</v>
      </c>
      <c r="B78" s="999"/>
      <c r="C78" s="999"/>
      <c r="D78" s="999"/>
      <c r="E78" s="999"/>
      <c r="F78" s="999"/>
      <c r="G78" s="999"/>
      <c r="H78" s="1000"/>
      <c r="I78" s="252" t="s">
        <v>83</v>
      </c>
      <c r="J78" s="238">
        <f>'자기평가서(2단계-종합기술제안서 정량평가)'!K4</f>
        <v>45972</v>
      </c>
      <c r="L78" s="223"/>
      <c r="M78" s="223"/>
    </row>
    <row r="79" spans="1:13" ht="33">
      <c r="A79" s="239" t="s">
        <v>84</v>
      </c>
      <c r="B79" s="239" t="s">
        <v>85</v>
      </c>
      <c r="C79" s="239" t="s">
        <v>96</v>
      </c>
      <c r="D79" s="239" t="s">
        <v>97</v>
      </c>
      <c r="E79" s="239" t="s">
        <v>88</v>
      </c>
      <c r="F79" s="239" t="s">
        <v>98</v>
      </c>
      <c r="G79" s="240" t="s">
        <v>99</v>
      </c>
      <c r="H79" s="240" t="s">
        <v>100</v>
      </c>
      <c r="I79" s="239" t="s">
        <v>90</v>
      </c>
      <c r="J79" s="239" t="s">
        <v>91</v>
      </c>
      <c r="L79" s="223"/>
      <c r="M79" s="223"/>
    </row>
    <row r="80" spans="1:13" ht="43.5" customHeight="1">
      <c r="A80" s="1039" t="s">
        <v>114</v>
      </c>
      <c r="B80" s="1004"/>
      <c r="C80" s="244" t="s">
        <v>515</v>
      </c>
      <c r="D80" s="245"/>
      <c r="E80" s="245"/>
      <c r="F80" s="254"/>
      <c r="G80" s="248">
        <f t="shared" ref="G80" si="4">1*F80</f>
        <v>0</v>
      </c>
      <c r="H80" s="255"/>
      <c r="I80" s="273">
        <f>IF(C81="","",IF(OR(G81&gt;=5,H81&gt;=20),1,IF(OR(G81&gt;=4,H81&gt;=18),0.9,IF(OR(G81&gt;=3,H81&gt;=16),0.8,IF(OR(G81&gt;=2,H81&gt;=14),0.7,IF(OR(G81&gt;=1,H81&gt;=12),0.6,0))))))</f>
        <v>0</v>
      </c>
      <c r="J80" s="1010">
        <f>IF(C81="","",0.5*I80)</f>
        <v>0</v>
      </c>
      <c r="K80" s="259"/>
      <c r="L80" s="220"/>
      <c r="M80" s="223"/>
    </row>
    <row r="81" spans="1:20" ht="12" customHeight="1">
      <c r="A81" s="1039"/>
      <c r="B81" s="1006"/>
      <c r="C81" s="1013" t="s">
        <v>102</v>
      </c>
      <c r="D81" s="1014"/>
      <c r="E81" s="1014"/>
      <c r="F81" s="1015"/>
      <c r="G81" s="258">
        <f>SUM(G80:G80)</f>
        <v>0</v>
      </c>
      <c r="H81" s="258">
        <f>SUM(H80:H80)</f>
        <v>0</v>
      </c>
      <c r="I81" s="275"/>
      <c r="J81" s="1012"/>
      <c r="K81" s="259"/>
      <c r="L81" s="220"/>
      <c r="M81" s="223"/>
    </row>
    <row r="82" spans="1:20" ht="12" customHeight="1">
      <c r="A82" s="1031">
        <v>734</v>
      </c>
      <c r="B82" s="1032"/>
      <c r="C82" s="1032"/>
      <c r="D82" s="1032"/>
      <c r="E82" s="1032"/>
      <c r="F82" s="1032"/>
      <c r="G82" s="1032"/>
      <c r="H82" s="1032"/>
      <c r="I82" s="1033"/>
      <c r="J82" s="261">
        <f>SUM(J80:J81)</f>
        <v>0</v>
      </c>
      <c r="L82" s="1034"/>
      <c r="M82" s="1034"/>
      <c r="N82" s="1034"/>
      <c r="O82" s="1034"/>
      <c r="P82" s="1034"/>
      <c r="Q82" s="1034"/>
      <c r="R82" s="1034"/>
      <c r="S82" s="1034"/>
      <c r="T82" s="1034"/>
    </row>
    <row r="83" spans="1:20" ht="12" customHeight="1">
      <c r="A83" s="262"/>
      <c r="B83" s="262"/>
      <c r="C83" s="262"/>
      <c r="D83" s="262"/>
      <c r="E83" s="262"/>
      <c r="F83" s="262"/>
      <c r="G83" s="262"/>
      <c r="H83" s="262"/>
      <c r="I83" s="262"/>
      <c r="J83" s="262"/>
      <c r="K83" s="263"/>
      <c r="L83" s="1034"/>
      <c r="M83" s="1034"/>
      <c r="N83" s="1034"/>
      <c r="O83" s="1034"/>
      <c r="P83" s="1034"/>
      <c r="Q83" s="1034"/>
      <c r="R83" s="1034"/>
      <c r="S83" s="1034"/>
      <c r="T83" s="1034"/>
    </row>
    <row r="84" spans="1:20" ht="16.5">
      <c r="A84" s="223"/>
      <c r="B84" s="219"/>
      <c r="C84" s="219"/>
      <c r="D84" s="219"/>
      <c r="E84" s="220"/>
      <c r="F84" s="220"/>
      <c r="G84" s="221"/>
      <c r="H84" s="221"/>
      <c r="I84" s="221"/>
      <c r="J84" s="221"/>
      <c r="K84" s="221"/>
      <c r="L84" s="220"/>
      <c r="M84" s="222"/>
    </row>
    <row r="85" spans="1:20" ht="31.5">
      <c r="A85" s="998" t="s">
        <v>104</v>
      </c>
      <c r="B85" s="999"/>
      <c r="C85" s="999"/>
      <c r="D85" s="999"/>
      <c r="E85" s="999"/>
      <c r="F85" s="999"/>
      <c r="G85" s="999"/>
      <c r="H85" s="999"/>
      <c r="I85" s="999"/>
      <c r="J85" s="1000"/>
      <c r="K85" s="237" t="s">
        <v>83</v>
      </c>
      <c r="L85" s="238">
        <f>'자기평가서(2단계-종합기술제안서 정량평가)'!K4</f>
        <v>45972</v>
      </c>
    </row>
    <row r="86" spans="1:20" ht="33">
      <c r="A86" s="239" t="s">
        <v>84</v>
      </c>
      <c r="B86" s="239" t="s">
        <v>105</v>
      </c>
      <c r="C86" s="239" t="s">
        <v>97</v>
      </c>
      <c r="D86" s="239" t="s">
        <v>87</v>
      </c>
      <c r="E86" s="239" t="s">
        <v>106</v>
      </c>
      <c r="F86" s="239" t="s">
        <v>98</v>
      </c>
      <c r="G86" s="240" t="s">
        <v>99</v>
      </c>
      <c r="H86" s="240" t="s">
        <v>107</v>
      </c>
      <c r="I86" s="239" t="s">
        <v>108</v>
      </c>
      <c r="J86" s="239" t="s">
        <v>109</v>
      </c>
      <c r="K86" s="239" t="s">
        <v>110</v>
      </c>
      <c r="L86" s="239" t="s">
        <v>91</v>
      </c>
    </row>
    <row r="87" spans="1:20" ht="16.5">
      <c r="A87" s="1035" t="s">
        <v>113</v>
      </c>
      <c r="B87" s="1018"/>
      <c r="C87" s="244" t="s">
        <v>509</v>
      </c>
      <c r="D87" s="591"/>
      <c r="E87" s="591"/>
      <c r="F87" s="265"/>
      <c r="G87" s="248">
        <f>1*F87</f>
        <v>0</v>
      </c>
      <c r="H87" s="246"/>
      <c r="I87" s="1024">
        <f>ROUNDDOWN(($L$31-D87)/365,1)</f>
        <v>125.9</v>
      </c>
      <c r="J87" s="1024">
        <f>IF(C87="","",IF(AND(I87&lt;20,I87&gt;=10),0.6,IF(AND(I87&lt;10,I87&gt;=5),0.8,IF(I87&lt;5,1,0))))</f>
        <v>0</v>
      </c>
      <c r="K87" s="1024">
        <f>IF(C88="","",IF(OR(G88&gt;=5,H88&gt;=20),1,IF(OR(G88&gt;=4,H88&gt;=18),0.9,IF(OR(G88&gt;=3,H88&gt;=16),0.8,IF(OR(G88&gt;=2,H88&gt;=14),0.7,IF(OR(G88&gt;=1,H88&gt;=12),0.6,0))))))</f>
        <v>0</v>
      </c>
      <c r="L87" s="1016">
        <f>IF(C87="","",0.3*J87*K87)</f>
        <v>0</v>
      </c>
    </row>
    <row r="88" spans="1:20" ht="16.5">
      <c r="A88" s="1036"/>
      <c r="B88" s="1020"/>
      <c r="C88" s="1028" t="s">
        <v>102</v>
      </c>
      <c r="D88" s="1029"/>
      <c r="E88" s="1029"/>
      <c r="F88" s="1030"/>
      <c r="G88" s="248">
        <f>SUM(G87:G87)</f>
        <v>0</v>
      </c>
      <c r="H88" s="248">
        <f>SUM(H87:H87)</f>
        <v>0</v>
      </c>
      <c r="I88" s="1026"/>
      <c r="J88" s="1026"/>
      <c r="K88" s="1026"/>
      <c r="L88" s="1017"/>
    </row>
    <row r="89" spans="1:20" ht="12" customHeight="1">
      <c r="A89" s="1031" t="s">
        <v>103</v>
      </c>
      <c r="B89" s="1032"/>
      <c r="C89" s="1032"/>
      <c r="D89" s="1032"/>
      <c r="E89" s="1032"/>
      <c r="F89" s="1032"/>
      <c r="G89" s="1032"/>
      <c r="H89" s="1032"/>
      <c r="I89" s="1032"/>
      <c r="J89" s="1032"/>
      <c r="K89" s="1033"/>
      <c r="L89" s="261">
        <f>IF(SUM(L87:L88)&gt;1,1,SUM(L87:L88))</f>
        <v>0</v>
      </c>
    </row>
    <row r="90" spans="1:20" ht="12" customHeight="1">
      <c r="A90" s="223"/>
      <c r="B90" s="219"/>
      <c r="C90" s="219"/>
      <c r="D90" s="219"/>
      <c r="E90" s="220"/>
      <c r="F90" s="220"/>
      <c r="G90" s="221"/>
      <c r="H90" s="221"/>
      <c r="I90" s="221"/>
      <c r="J90" s="221"/>
      <c r="K90" s="221"/>
      <c r="L90" s="220"/>
      <c r="M90" s="222"/>
    </row>
    <row r="91" spans="1:20" s="266" customFormat="1" ht="12" customHeight="1">
      <c r="B91" s="267"/>
      <c r="C91" s="267"/>
      <c r="D91" s="267"/>
      <c r="E91" s="268"/>
      <c r="F91" s="268"/>
      <c r="G91" s="269"/>
      <c r="H91" s="269"/>
      <c r="I91" s="269"/>
      <c r="J91" s="269"/>
      <c r="K91" s="269"/>
      <c r="L91" s="268"/>
      <c r="M91" s="270"/>
    </row>
    <row r="92" spans="1:20" ht="12" customHeight="1">
      <c r="A92" s="223"/>
      <c r="B92" s="219"/>
      <c r="C92" s="219"/>
      <c r="D92" s="219"/>
      <c r="E92" s="220"/>
      <c r="F92" s="220"/>
      <c r="G92" s="221"/>
      <c r="H92" s="221"/>
      <c r="I92" s="221"/>
      <c r="J92" s="221"/>
      <c r="K92" s="221"/>
      <c r="L92" s="220"/>
      <c r="M92" s="222"/>
    </row>
    <row r="93" spans="1:20" ht="27" customHeight="1">
      <c r="A93" s="1001">
        <f>A8</f>
        <v>0</v>
      </c>
      <c r="B93" s="1002"/>
      <c r="C93" s="1003"/>
      <c r="D93" s="232">
        <f>D8</f>
        <v>0</v>
      </c>
      <c r="E93" s="233"/>
      <c r="F93" s="233"/>
      <c r="G93" s="234"/>
      <c r="H93" s="234"/>
      <c r="I93" s="234"/>
      <c r="J93" s="234"/>
      <c r="K93" s="234"/>
      <c r="L93" s="235"/>
      <c r="M93" s="235"/>
    </row>
    <row r="94" spans="1:20" ht="21.75" customHeight="1">
      <c r="A94" s="998" t="s">
        <v>82</v>
      </c>
      <c r="B94" s="999"/>
      <c r="C94" s="999"/>
      <c r="D94" s="999"/>
      <c r="E94" s="999"/>
      <c r="F94" s="1000"/>
      <c r="G94" s="237" t="s">
        <v>83</v>
      </c>
      <c r="H94" s="238">
        <f>'자기평가서(2단계-종합기술제안서 정량평가)'!K4</f>
        <v>45972</v>
      </c>
      <c r="J94" s="221"/>
      <c r="K94" s="234"/>
      <c r="L94" s="235"/>
      <c r="M94" s="235"/>
    </row>
    <row r="95" spans="1:20" ht="12" customHeight="1">
      <c r="A95" s="239" t="s">
        <v>84</v>
      </c>
      <c r="B95" s="239" t="s">
        <v>85</v>
      </c>
      <c r="C95" s="239" t="s">
        <v>86</v>
      </c>
      <c r="D95" s="239" t="s">
        <v>87</v>
      </c>
      <c r="E95" s="239" t="s">
        <v>88</v>
      </c>
      <c r="F95" s="240" t="s">
        <v>89</v>
      </c>
      <c r="G95" s="239" t="s">
        <v>90</v>
      </c>
      <c r="H95" s="239" t="s">
        <v>91</v>
      </c>
      <c r="J95" s="221"/>
      <c r="K95" s="241"/>
      <c r="L95" s="242"/>
      <c r="M95" s="242"/>
    </row>
    <row r="96" spans="1:20" ht="12" customHeight="1">
      <c r="A96" s="1038" t="s">
        <v>92</v>
      </c>
      <c r="B96" s="243">
        <v>1</v>
      </c>
      <c r="C96" s="244" t="s">
        <v>461</v>
      </c>
      <c r="D96" s="245">
        <v>39228</v>
      </c>
      <c r="E96" s="245">
        <v>44114</v>
      </c>
      <c r="F96" s="246">
        <v>1</v>
      </c>
      <c r="G96" s="247">
        <f t="shared" ref="G96:G105" si="5">IF(C96="","",IF(E96&gt;=$H$13,1,0))</f>
        <v>0</v>
      </c>
      <c r="H96" s="248">
        <f>IF(C96="","",2*G96/F96)</f>
        <v>0</v>
      </c>
      <c r="J96" s="221"/>
      <c r="K96" s="234"/>
      <c r="L96" s="249"/>
      <c r="M96" s="249"/>
    </row>
    <row r="97" spans="1:13" ht="12" customHeight="1">
      <c r="A97" s="1038"/>
      <c r="B97" s="243">
        <v>2</v>
      </c>
      <c r="C97" s="244" t="s">
        <v>461</v>
      </c>
      <c r="D97" s="245">
        <v>40718</v>
      </c>
      <c r="E97" s="245">
        <v>44114</v>
      </c>
      <c r="F97" s="246">
        <v>1</v>
      </c>
      <c r="G97" s="247">
        <f t="shared" si="5"/>
        <v>0</v>
      </c>
      <c r="H97" s="248">
        <f t="shared" ref="H97:H105" si="6">IF(C97="","",2*G97/F97)</f>
        <v>0</v>
      </c>
      <c r="J97" s="221"/>
      <c r="K97" s="234"/>
      <c r="L97" s="249"/>
      <c r="M97" s="249"/>
    </row>
    <row r="98" spans="1:13" ht="12" customHeight="1">
      <c r="A98" s="1038"/>
      <c r="B98" s="243">
        <v>3</v>
      </c>
      <c r="C98" s="244" t="s">
        <v>461</v>
      </c>
      <c r="D98" s="245">
        <v>38898</v>
      </c>
      <c r="E98" s="245">
        <v>44114</v>
      </c>
      <c r="F98" s="246">
        <v>1</v>
      </c>
      <c r="G98" s="247">
        <f t="shared" si="5"/>
        <v>0</v>
      </c>
      <c r="H98" s="248">
        <f t="shared" si="6"/>
        <v>0</v>
      </c>
      <c r="J98" s="221"/>
      <c r="K98" s="234"/>
      <c r="L98" s="220"/>
      <c r="M98" s="222"/>
    </row>
    <row r="99" spans="1:13" ht="12" customHeight="1">
      <c r="A99" s="1038"/>
      <c r="B99" s="243">
        <v>4</v>
      </c>
      <c r="C99" s="244" t="s">
        <v>461</v>
      </c>
      <c r="D99" s="245">
        <v>38898</v>
      </c>
      <c r="E99" s="245">
        <v>44114</v>
      </c>
      <c r="F99" s="246">
        <v>1</v>
      </c>
      <c r="G99" s="247">
        <f t="shared" si="5"/>
        <v>0</v>
      </c>
      <c r="H99" s="248">
        <f t="shared" si="6"/>
        <v>0</v>
      </c>
      <c r="J99" s="221"/>
      <c r="K99" s="234"/>
      <c r="L99" s="220"/>
      <c r="M99" s="222"/>
    </row>
    <row r="100" spans="1:13" ht="12" customHeight="1">
      <c r="A100" s="1038"/>
      <c r="B100" s="243">
        <v>5</v>
      </c>
      <c r="C100" s="244" t="s">
        <v>461</v>
      </c>
      <c r="D100" s="245">
        <v>38898</v>
      </c>
      <c r="E100" s="245">
        <v>44114</v>
      </c>
      <c r="F100" s="246">
        <v>4</v>
      </c>
      <c r="G100" s="247">
        <f t="shared" si="5"/>
        <v>0</v>
      </c>
      <c r="H100" s="248">
        <f t="shared" si="6"/>
        <v>0</v>
      </c>
      <c r="J100" s="221"/>
      <c r="K100" s="234"/>
      <c r="L100" s="249"/>
      <c r="M100" s="249"/>
    </row>
    <row r="101" spans="1:13" ht="12" customHeight="1">
      <c r="A101" s="1038"/>
      <c r="B101" s="243">
        <v>6</v>
      </c>
      <c r="C101" s="244" t="s">
        <v>461</v>
      </c>
      <c r="D101" s="245">
        <v>38898</v>
      </c>
      <c r="E101" s="245">
        <v>44114</v>
      </c>
      <c r="F101" s="246">
        <v>1</v>
      </c>
      <c r="G101" s="247">
        <f t="shared" si="5"/>
        <v>0</v>
      </c>
      <c r="H101" s="248">
        <f t="shared" si="6"/>
        <v>0</v>
      </c>
      <c r="J101" s="221"/>
      <c r="K101" s="234"/>
      <c r="L101" s="249"/>
      <c r="M101" s="249"/>
    </row>
    <row r="102" spans="1:13" ht="12" customHeight="1">
      <c r="A102" s="1038"/>
      <c r="B102" s="243">
        <v>7</v>
      </c>
      <c r="C102" s="244" t="s">
        <v>461</v>
      </c>
      <c r="D102" s="245">
        <v>38898</v>
      </c>
      <c r="E102" s="245">
        <v>44114</v>
      </c>
      <c r="F102" s="246">
        <v>1</v>
      </c>
      <c r="G102" s="247">
        <f t="shared" si="5"/>
        <v>0</v>
      </c>
      <c r="H102" s="248">
        <f t="shared" si="6"/>
        <v>0</v>
      </c>
      <c r="J102" s="221"/>
      <c r="K102" s="234"/>
      <c r="L102" s="249"/>
      <c r="M102" s="249"/>
    </row>
    <row r="103" spans="1:13" ht="12" customHeight="1">
      <c r="A103" s="1038"/>
      <c r="B103" s="243">
        <v>8</v>
      </c>
      <c r="C103" s="244" t="s">
        <v>461</v>
      </c>
      <c r="D103" s="245">
        <v>38387</v>
      </c>
      <c r="E103" s="245">
        <v>44114</v>
      </c>
      <c r="F103" s="246">
        <v>2</v>
      </c>
      <c r="G103" s="247">
        <f t="shared" si="5"/>
        <v>0</v>
      </c>
      <c r="H103" s="248">
        <f t="shared" si="6"/>
        <v>0</v>
      </c>
      <c r="J103" s="221"/>
      <c r="K103" s="234"/>
      <c r="L103" s="249"/>
      <c r="M103" s="249"/>
    </row>
    <row r="104" spans="1:13" ht="12" customHeight="1">
      <c r="A104" s="1038"/>
      <c r="B104" s="243">
        <v>9</v>
      </c>
      <c r="C104" s="244"/>
      <c r="D104" s="245"/>
      <c r="E104" s="245"/>
      <c r="F104" s="246"/>
      <c r="G104" s="247" t="str">
        <f t="shared" si="5"/>
        <v/>
      </c>
      <c r="H104" s="248" t="str">
        <f t="shared" si="6"/>
        <v/>
      </c>
      <c r="J104" s="221"/>
      <c r="K104" s="234"/>
      <c r="L104" s="249"/>
      <c r="M104" s="249"/>
    </row>
    <row r="105" spans="1:13" ht="12" customHeight="1">
      <c r="A105" s="1038"/>
      <c r="B105" s="243">
        <v>10</v>
      </c>
      <c r="C105" s="244"/>
      <c r="D105" s="245"/>
      <c r="E105" s="245"/>
      <c r="F105" s="246"/>
      <c r="G105" s="247" t="str">
        <f t="shared" si="5"/>
        <v/>
      </c>
      <c r="H105" s="248" t="str">
        <f t="shared" si="6"/>
        <v/>
      </c>
      <c r="J105" s="221"/>
      <c r="K105" s="234"/>
      <c r="L105" s="220"/>
      <c r="M105" s="222"/>
    </row>
    <row r="106" spans="1:13" ht="12" customHeight="1">
      <c r="A106" s="1031" t="s">
        <v>103</v>
      </c>
      <c r="B106" s="1032"/>
      <c r="C106" s="1032"/>
      <c r="D106" s="1032"/>
      <c r="E106" s="1032"/>
      <c r="F106" s="1032"/>
      <c r="G106" s="1033"/>
      <c r="H106" s="250">
        <f>SUM(H96:H105)</f>
        <v>0</v>
      </c>
      <c r="J106" s="221"/>
      <c r="K106" s="251"/>
      <c r="L106" s="223"/>
      <c r="M106" s="223"/>
    </row>
    <row r="107" spans="1:13" ht="12" customHeight="1">
      <c r="A107" s="218"/>
      <c r="B107" s="219"/>
      <c r="C107" s="236"/>
      <c r="D107" s="219"/>
      <c r="E107" s="220"/>
      <c r="F107" s="220"/>
      <c r="G107" s="221"/>
      <c r="H107" s="221"/>
      <c r="I107" s="221"/>
      <c r="J107" s="221"/>
      <c r="K107" s="221"/>
      <c r="L107" s="220"/>
      <c r="M107" s="222"/>
    </row>
    <row r="108" spans="1:13" ht="24" customHeight="1">
      <c r="A108" s="998" t="s">
        <v>112</v>
      </c>
      <c r="B108" s="999"/>
      <c r="C108" s="999"/>
      <c r="D108" s="999"/>
      <c r="E108" s="999"/>
      <c r="F108" s="999"/>
      <c r="G108" s="999"/>
      <c r="H108" s="1000"/>
      <c r="I108" s="252" t="s">
        <v>83</v>
      </c>
      <c r="J108" s="238">
        <f>'자기평가서(2단계-종합기술제안서 정량평가)'!K4</f>
        <v>45972</v>
      </c>
      <c r="L108" s="223"/>
      <c r="M108" s="223"/>
    </row>
    <row r="109" spans="1:13" ht="12" customHeight="1">
      <c r="A109" s="239" t="s">
        <v>84</v>
      </c>
      <c r="B109" s="239" t="s">
        <v>85</v>
      </c>
      <c r="C109" s="239" t="s">
        <v>96</v>
      </c>
      <c r="D109" s="239" t="s">
        <v>97</v>
      </c>
      <c r="E109" s="239" t="s">
        <v>88</v>
      </c>
      <c r="F109" s="239" t="s">
        <v>98</v>
      </c>
      <c r="G109" s="240" t="s">
        <v>99</v>
      </c>
      <c r="H109" s="240" t="s">
        <v>100</v>
      </c>
      <c r="I109" s="239" t="s">
        <v>90</v>
      </c>
      <c r="J109" s="239" t="s">
        <v>91</v>
      </c>
      <c r="L109" s="223"/>
      <c r="M109" s="223"/>
    </row>
    <row r="110" spans="1:13" ht="12" customHeight="1">
      <c r="A110" s="1039" t="s">
        <v>92</v>
      </c>
      <c r="B110" s="1004">
        <v>111</v>
      </c>
      <c r="C110" s="244">
        <v>2014</v>
      </c>
      <c r="D110" s="245" t="s">
        <v>462</v>
      </c>
      <c r="E110" s="245">
        <v>44114</v>
      </c>
      <c r="F110" s="254">
        <v>1</v>
      </c>
      <c r="G110" s="248">
        <f t="shared" ref="G110:G115" si="7">1*F110</f>
        <v>1</v>
      </c>
      <c r="H110" s="255">
        <v>2</v>
      </c>
      <c r="I110" s="273">
        <f>IF(C116="","",IF(OR(G116&gt;=5,H116&gt;=20),1,IF(OR(G116&gt;=4,H116&gt;=18),0.9,IF(OR(G116&gt;=3,H116&gt;=16),0.8,IF(OR(G116&gt;=2,H116&gt;=14),0.7,IF(OR(G116&gt;=1,H116&gt;=12),0.6,0))))))</f>
        <v>0.9</v>
      </c>
      <c r="J110" s="1010">
        <f>IF(C116="","",0.5*I110)</f>
        <v>0.45</v>
      </c>
      <c r="K110" s="259"/>
      <c r="L110" s="220"/>
      <c r="M110" s="223"/>
    </row>
    <row r="111" spans="1:13" ht="12" customHeight="1">
      <c r="A111" s="1039"/>
      <c r="B111" s="1005"/>
      <c r="C111" s="244">
        <v>2014</v>
      </c>
      <c r="D111" s="245" t="s">
        <v>462</v>
      </c>
      <c r="E111" s="245">
        <v>44115</v>
      </c>
      <c r="F111" s="254">
        <v>0.6</v>
      </c>
      <c r="G111" s="248">
        <f t="shared" si="7"/>
        <v>0.6</v>
      </c>
      <c r="H111" s="255">
        <v>2</v>
      </c>
      <c r="I111" s="274"/>
      <c r="J111" s="1011"/>
      <c r="K111" s="259"/>
      <c r="L111" s="220"/>
      <c r="M111" s="223"/>
    </row>
    <row r="112" spans="1:13" ht="12" customHeight="1">
      <c r="A112" s="1039"/>
      <c r="B112" s="1005"/>
      <c r="C112" s="244">
        <v>2014</v>
      </c>
      <c r="D112" s="245" t="s">
        <v>462</v>
      </c>
      <c r="E112" s="245">
        <v>44116</v>
      </c>
      <c r="F112" s="254">
        <v>0.6</v>
      </c>
      <c r="G112" s="248">
        <f t="shared" si="7"/>
        <v>0.6</v>
      </c>
      <c r="H112" s="255">
        <v>2</v>
      </c>
      <c r="I112" s="274"/>
      <c r="J112" s="1011"/>
      <c r="K112" s="259"/>
      <c r="L112" s="220"/>
      <c r="M112" s="223"/>
    </row>
    <row r="113" spans="1:13" ht="12" customHeight="1">
      <c r="A113" s="1039"/>
      <c r="B113" s="1005"/>
      <c r="C113" s="244">
        <v>2014</v>
      </c>
      <c r="D113" s="245" t="s">
        <v>462</v>
      </c>
      <c r="E113" s="245">
        <v>44117</v>
      </c>
      <c r="F113" s="254">
        <v>0.6</v>
      </c>
      <c r="G113" s="248">
        <f t="shared" si="7"/>
        <v>0.6</v>
      </c>
      <c r="H113" s="255">
        <v>2</v>
      </c>
      <c r="I113" s="274"/>
      <c r="J113" s="1011"/>
      <c r="K113" s="259"/>
      <c r="L113" s="220"/>
      <c r="M113" s="223"/>
    </row>
    <row r="114" spans="1:13" ht="12" customHeight="1">
      <c r="A114" s="1039"/>
      <c r="B114" s="1005"/>
      <c r="C114" s="244">
        <v>2014</v>
      </c>
      <c r="D114" s="245" t="s">
        <v>462</v>
      </c>
      <c r="E114" s="245">
        <v>44118</v>
      </c>
      <c r="F114" s="254">
        <v>0.6</v>
      </c>
      <c r="G114" s="248">
        <f t="shared" si="7"/>
        <v>0.6</v>
      </c>
      <c r="H114" s="255">
        <v>2</v>
      </c>
      <c r="I114" s="274"/>
      <c r="J114" s="1011"/>
      <c r="K114" s="259"/>
      <c r="L114" s="220"/>
      <c r="M114" s="223"/>
    </row>
    <row r="115" spans="1:13" ht="12" customHeight="1">
      <c r="A115" s="1039"/>
      <c r="B115" s="1005"/>
      <c r="C115" s="244">
        <v>2014</v>
      </c>
      <c r="D115" s="245" t="s">
        <v>462</v>
      </c>
      <c r="E115" s="245">
        <v>44119</v>
      </c>
      <c r="F115" s="254">
        <v>0.6</v>
      </c>
      <c r="G115" s="248">
        <f t="shared" si="7"/>
        <v>0.6</v>
      </c>
      <c r="H115" s="255">
        <v>2</v>
      </c>
      <c r="I115" s="274"/>
      <c r="J115" s="1011"/>
      <c r="K115" s="223"/>
      <c r="L115" s="220"/>
      <c r="M115" s="223"/>
    </row>
    <row r="116" spans="1:13" ht="12" customHeight="1">
      <c r="A116" s="1039"/>
      <c r="B116" s="1006"/>
      <c r="C116" s="1013" t="s">
        <v>102</v>
      </c>
      <c r="D116" s="1014"/>
      <c r="E116" s="1014"/>
      <c r="F116" s="1015"/>
      <c r="G116" s="258">
        <f>SUM(G110:G115)</f>
        <v>4</v>
      </c>
      <c r="H116" s="258">
        <f>SUM(H110:H115)</f>
        <v>12</v>
      </c>
      <c r="I116" s="275"/>
      <c r="J116" s="1012"/>
      <c r="K116" s="259"/>
      <c r="L116" s="220"/>
      <c r="M116" s="223"/>
    </row>
    <row r="117" spans="1:13" ht="12" customHeight="1">
      <c r="A117" s="1038"/>
      <c r="B117" s="1004">
        <v>222</v>
      </c>
      <c r="C117" s="244">
        <v>2014</v>
      </c>
      <c r="D117" s="245" t="s">
        <v>462</v>
      </c>
      <c r="E117" s="245">
        <v>44114</v>
      </c>
      <c r="F117" s="254">
        <v>1</v>
      </c>
      <c r="G117" s="248">
        <f t="shared" ref="G117:G122" si="8">1*F117</f>
        <v>1</v>
      </c>
      <c r="H117" s="255">
        <v>2</v>
      </c>
      <c r="I117" s="273">
        <f>IF(C123="","",IF(OR(G123&gt;=5,H123&gt;=20),1,IF(OR(G123&gt;=4,H123&gt;=18),0.9,IF(OR(G123&gt;=3,H123&gt;=16),0.8,IF(OR(G123&gt;=2,H123&gt;=14),0.7,IF(OR(G123&gt;=1,H123&gt;=12),0.6,0))))))</f>
        <v>0.6</v>
      </c>
      <c r="J117" s="1010">
        <f>IF(C123="","",0.5*I117)</f>
        <v>0.3</v>
      </c>
      <c r="L117" s="220"/>
      <c r="M117" s="223"/>
    </row>
    <row r="118" spans="1:13" ht="12" customHeight="1">
      <c r="A118" s="1038"/>
      <c r="B118" s="1005"/>
      <c r="C118" s="244"/>
      <c r="D118" s="245"/>
      <c r="E118" s="245"/>
      <c r="F118" s="254"/>
      <c r="G118" s="248">
        <f t="shared" si="8"/>
        <v>0</v>
      </c>
      <c r="H118" s="255">
        <v>2</v>
      </c>
      <c r="I118" s="274"/>
      <c r="J118" s="1011"/>
      <c r="L118" s="259"/>
      <c r="M118" s="223"/>
    </row>
    <row r="119" spans="1:13" ht="12" customHeight="1">
      <c r="A119" s="1038"/>
      <c r="B119" s="1005"/>
      <c r="C119" s="244"/>
      <c r="D119" s="245"/>
      <c r="E119" s="245"/>
      <c r="F119" s="254"/>
      <c r="G119" s="248">
        <f t="shared" si="8"/>
        <v>0</v>
      </c>
      <c r="H119" s="255">
        <v>2</v>
      </c>
      <c r="I119" s="274"/>
      <c r="J119" s="1011"/>
      <c r="L119" s="259"/>
      <c r="M119" s="223"/>
    </row>
    <row r="120" spans="1:13" ht="12" customHeight="1">
      <c r="A120" s="1038"/>
      <c r="B120" s="1005"/>
      <c r="C120" s="244"/>
      <c r="D120" s="245"/>
      <c r="E120" s="245"/>
      <c r="F120" s="254"/>
      <c r="G120" s="248">
        <f t="shared" si="8"/>
        <v>0</v>
      </c>
      <c r="H120" s="255">
        <v>2</v>
      </c>
      <c r="I120" s="274"/>
      <c r="J120" s="1011"/>
      <c r="L120" s="259"/>
      <c r="M120" s="223"/>
    </row>
    <row r="121" spans="1:13" ht="12" customHeight="1">
      <c r="A121" s="1038"/>
      <c r="B121" s="1005"/>
      <c r="C121" s="244"/>
      <c r="D121" s="245"/>
      <c r="E121" s="245"/>
      <c r="F121" s="254"/>
      <c r="G121" s="248">
        <f t="shared" si="8"/>
        <v>0</v>
      </c>
      <c r="H121" s="255">
        <v>2</v>
      </c>
      <c r="I121" s="274"/>
      <c r="J121" s="1011"/>
      <c r="L121" s="259"/>
      <c r="M121" s="223"/>
    </row>
    <row r="122" spans="1:13" ht="12" customHeight="1">
      <c r="A122" s="1038"/>
      <c r="B122" s="1005"/>
      <c r="C122" s="244"/>
      <c r="D122" s="245"/>
      <c r="E122" s="245"/>
      <c r="F122" s="254"/>
      <c r="G122" s="248">
        <f t="shared" si="8"/>
        <v>0</v>
      </c>
      <c r="H122" s="255">
        <v>2</v>
      </c>
      <c r="I122" s="274"/>
      <c r="J122" s="1011"/>
      <c r="L122" s="259"/>
      <c r="M122" s="223"/>
    </row>
    <row r="123" spans="1:13" ht="12" customHeight="1">
      <c r="A123" s="1038"/>
      <c r="B123" s="1006"/>
      <c r="C123" s="1013" t="s">
        <v>102</v>
      </c>
      <c r="D123" s="1014"/>
      <c r="E123" s="1014"/>
      <c r="F123" s="1015"/>
      <c r="G123" s="258">
        <f>SUM(G117:G122)</f>
        <v>1</v>
      </c>
      <c r="H123" s="258">
        <f>SUM(H117:H122)</f>
        <v>12</v>
      </c>
      <c r="I123" s="275"/>
      <c r="J123" s="1012"/>
      <c r="L123" s="259"/>
      <c r="M123" s="223"/>
    </row>
    <row r="124" spans="1:13" ht="12" customHeight="1">
      <c r="A124" s="1038"/>
      <c r="B124" s="1004">
        <v>222</v>
      </c>
      <c r="C124" s="244">
        <v>2014</v>
      </c>
      <c r="D124" s="245" t="s">
        <v>462</v>
      </c>
      <c r="E124" s="245">
        <v>44114</v>
      </c>
      <c r="F124" s="254">
        <v>0.6</v>
      </c>
      <c r="G124" s="248">
        <f t="shared" ref="G124:G129" si="9">1*F124</f>
        <v>0.6</v>
      </c>
      <c r="H124" s="255">
        <v>2</v>
      </c>
      <c r="I124" s="273">
        <f>IF(C130="","",IF(OR(G130&gt;=5,H130&gt;=20),1,IF(OR(G130&gt;=4,H130&gt;=18),0.9,IF(OR(G130&gt;=3,H130&gt;=16),0.8,IF(OR(G130&gt;=2,H130&gt;=14),0.7,IF(OR(G130&gt;=1,H130&gt;=12),0.6,0))))))</f>
        <v>0.8</v>
      </c>
      <c r="J124" s="1010">
        <f>IF(C130="","",0.5*I124)</f>
        <v>0.4</v>
      </c>
      <c r="L124" s="259"/>
      <c r="M124" s="223"/>
    </row>
    <row r="125" spans="1:13" ht="12" customHeight="1">
      <c r="A125" s="1038"/>
      <c r="B125" s="1005"/>
      <c r="C125" s="244">
        <v>2014</v>
      </c>
      <c r="D125" s="245" t="s">
        <v>462</v>
      </c>
      <c r="E125" s="245">
        <v>44115</v>
      </c>
      <c r="F125" s="254">
        <v>0.6</v>
      </c>
      <c r="G125" s="248">
        <f t="shared" si="9"/>
        <v>0.6</v>
      </c>
      <c r="H125" s="255">
        <v>2</v>
      </c>
      <c r="I125" s="274"/>
      <c r="J125" s="1011"/>
      <c r="L125" s="259"/>
      <c r="M125" s="223"/>
    </row>
    <row r="126" spans="1:13" ht="12" customHeight="1">
      <c r="A126" s="1038"/>
      <c r="B126" s="1005"/>
      <c r="C126" s="244">
        <v>2014</v>
      </c>
      <c r="D126" s="245" t="s">
        <v>462</v>
      </c>
      <c r="E126" s="245">
        <v>44116</v>
      </c>
      <c r="F126" s="254">
        <v>0.6</v>
      </c>
      <c r="G126" s="248">
        <f t="shared" si="9"/>
        <v>0.6</v>
      </c>
      <c r="H126" s="255">
        <v>2</v>
      </c>
      <c r="I126" s="274"/>
      <c r="J126" s="1011"/>
      <c r="L126" s="259"/>
      <c r="M126" s="223"/>
    </row>
    <row r="127" spans="1:13" ht="12" customHeight="1">
      <c r="A127" s="1038"/>
      <c r="B127" s="1005"/>
      <c r="C127" s="244">
        <v>2014</v>
      </c>
      <c r="D127" s="245" t="s">
        <v>462</v>
      </c>
      <c r="E127" s="245">
        <v>44117</v>
      </c>
      <c r="F127" s="254">
        <v>0.6</v>
      </c>
      <c r="G127" s="248">
        <f t="shared" si="9"/>
        <v>0.6</v>
      </c>
      <c r="H127" s="255">
        <v>2</v>
      </c>
      <c r="I127" s="274"/>
      <c r="J127" s="1011"/>
      <c r="L127" s="259"/>
      <c r="M127" s="223"/>
    </row>
    <row r="128" spans="1:13" ht="12" customHeight="1">
      <c r="A128" s="1038"/>
      <c r="B128" s="1005"/>
      <c r="C128" s="244">
        <v>2014</v>
      </c>
      <c r="D128" s="245" t="s">
        <v>462</v>
      </c>
      <c r="E128" s="245">
        <v>44118</v>
      </c>
      <c r="F128" s="254">
        <v>0.6</v>
      </c>
      <c r="G128" s="248">
        <f t="shared" si="9"/>
        <v>0.6</v>
      </c>
      <c r="H128" s="255">
        <v>2</v>
      </c>
      <c r="I128" s="274"/>
      <c r="J128" s="1011"/>
      <c r="L128" s="259"/>
      <c r="M128" s="223"/>
    </row>
    <row r="129" spans="1:13" ht="12" customHeight="1">
      <c r="A129" s="1038"/>
      <c r="B129" s="1005"/>
      <c r="C129" s="244">
        <v>2014</v>
      </c>
      <c r="D129" s="245" t="s">
        <v>462</v>
      </c>
      <c r="E129" s="245">
        <v>44119</v>
      </c>
      <c r="F129" s="254">
        <v>0.6</v>
      </c>
      <c r="G129" s="248">
        <f t="shared" si="9"/>
        <v>0.6</v>
      </c>
      <c r="H129" s="255">
        <v>2</v>
      </c>
      <c r="I129" s="274"/>
      <c r="J129" s="1011"/>
      <c r="L129" s="259"/>
      <c r="M129" s="223"/>
    </row>
    <row r="130" spans="1:13" ht="12" customHeight="1">
      <c r="A130" s="1038"/>
      <c r="B130" s="1006"/>
      <c r="C130" s="1013" t="s">
        <v>102</v>
      </c>
      <c r="D130" s="1014"/>
      <c r="E130" s="1014"/>
      <c r="F130" s="1015"/>
      <c r="G130" s="258">
        <f>SUM(G124:G129)</f>
        <v>3.6</v>
      </c>
      <c r="H130" s="258">
        <f>SUM(H124:H129)</f>
        <v>12</v>
      </c>
      <c r="I130" s="275"/>
      <c r="J130" s="1012"/>
      <c r="L130" s="259"/>
      <c r="M130" s="223"/>
    </row>
    <row r="131" spans="1:13" ht="12" customHeight="1">
      <c r="A131" s="1038"/>
      <c r="B131" s="1004">
        <v>222</v>
      </c>
      <c r="C131" s="244">
        <v>2014</v>
      </c>
      <c r="D131" s="245" t="s">
        <v>462</v>
      </c>
      <c r="E131" s="245">
        <v>44114</v>
      </c>
      <c r="F131" s="254">
        <v>0.6</v>
      </c>
      <c r="G131" s="248">
        <f t="shared" ref="G131:G136" si="10">1*F131</f>
        <v>0.6</v>
      </c>
      <c r="H131" s="255">
        <v>2</v>
      </c>
      <c r="I131" s="273">
        <f>IF(C137="","",IF(OR(G137&gt;=5,H137&gt;=20),1,IF(OR(G137&gt;=4,H137&gt;=18),0.9,IF(OR(G137&gt;=3,H137&gt;=16),0.8,IF(OR(G137&gt;=2,H137&gt;=14),0.7,IF(OR(G137&gt;=1,H137&gt;=12),0.6,0))))))</f>
        <v>0.8</v>
      </c>
      <c r="J131" s="1010">
        <f>IF(C137="","",0.5*I131)</f>
        <v>0.4</v>
      </c>
      <c r="L131" s="259"/>
      <c r="M131" s="223"/>
    </row>
    <row r="132" spans="1:13" ht="12" customHeight="1">
      <c r="A132" s="1038"/>
      <c r="B132" s="1005"/>
      <c r="C132" s="244">
        <v>2014</v>
      </c>
      <c r="D132" s="245" t="s">
        <v>462</v>
      </c>
      <c r="E132" s="245">
        <v>44115</v>
      </c>
      <c r="F132" s="254">
        <v>0.6</v>
      </c>
      <c r="G132" s="248">
        <f t="shared" si="10"/>
        <v>0.6</v>
      </c>
      <c r="H132" s="255">
        <v>2</v>
      </c>
      <c r="I132" s="274"/>
      <c r="J132" s="1011"/>
      <c r="L132" s="259"/>
      <c r="M132" s="223"/>
    </row>
    <row r="133" spans="1:13" ht="12" customHeight="1">
      <c r="A133" s="1038"/>
      <c r="B133" s="1005"/>
      <c r="C133" s="244">
        <v>2014</v>
      </c>
      <c r="D133" s="245" t="s">
        <v>462</v>
      </c>
      <c r="E133" s="245">
        <v>44116</v>
      </c>
      <c r="F133" s="254">
        <v>0.6</v>
      </c>
      <c r="G133" s="248">
        <f t="shared" si="10"/>
        <v>0.6</v>
      </c>
      <c r="H133" s="255">
        <v>2</v>
      </c>
      <c r="I133" s="274"/>
      <c r="J133" s="1011"/>
      <c r="L133" s="260"/>
      <c r="M133" s="223"/>
    </row>
    <row r="134" spans="1:13" ht="12" customHeight="1">
      <c r="A134" s="1038"/>
      <c r="B134" s="1005"/>
      <c r="C134" s="244">
        <v>2014</v>
      </c>
      <c r="D134" s="245" t="s">
        <v>462</v>
      </c>
      <c r="E134" s="245">
        <v>44117</v>
      </c>
      <c r="F134" s="254">
        <v>0.6</v>
      </c>
      <c r="G134" s="248">
        <f t="shared" si="10"/>
        <v>0.6</v>
      </c>
      <c r="H134" s="255">
        <v>2</v>
      </c>
      <c r="I134" s="274"/>
      <c r="J134" s="1011"/>
      <c r="L134" s="220"/>
      <c r="M134" s="223"/>
    </row>
    <row r="135" spans="1:13" ht="12" customHeight="1">
      <c r="A135" s="1038"/>
      <c r="B135" s="1005"/>
      <c r="C135" s="244">
        <v>2014</v>
      </c>
      <c r="D135" s="245" t="s">
        <v>462</v>
      </c>
      <c r="E135" s="245">
        <v>44118</v>
      </c>
      <c r="F135" s="254">
        <v>0.6</v>
      </c>
      <c r="G135" s="248">
        <f t="shared" si="10"/>
        <v>0.6</v>
      </c>
      <c r="H135" s="255">
        <v>2</v>
      </c>
      <c r="I135" s="274"/>
      <c r="J135" s="1011"/>
      <c r="L135" s="220"/>
      <c r="M135" s="223"/>
    </row>
    <row r="136" spans="1:13" ht="12" customHeight="1">
      <c r="A136" s="1038"/>
      <c r="B136" s="1005"/>
      <c r="C136" s="244">
        <v>2014</v>
      </c>
      <c r="D136" s="245" t="s">
        <v>462</v>
      </c>
      <c r="E136" s="245">
        <v>44119</v>
      </c>
      <c r="F136" s="254">
        <v>0.6</v>
      </c>
      <c r="G136" s="248">
        <f t="shared" si="10"/>
        <v>0.6</v>
      </c>
      <c r="H136" s="255">
        <v>2</v>
      </c>
      <c r="I136" s="274"/>
      <c r="J136" s="1011"/>
      <c r="L136" s="220"/>
      <c r="M136" s="223"/>
    </row>
    <row r="137" spans="1:13" ht="12" customHeight="1">
      <c r="A137" s="1038"/>
      <c r="B137" s="1006"/>
      <c r="C137" s="1013" t="s">
        <v>102</v>
      </c>
      <c r="D137" s="1014"/>
      <c r="E137" s="1014"/>
      <c r="F137" s="1015"/>
      <c r="G137" s="258">
        <f>SUM(G131:G136)</f>
        <v>3.6</v>
      </c>
      <c r="H137" s="258">
        <f>SUM(H131:H136)</f>
        <v>12</v>
      </c>
      <c r="I137" s="275"/>
      <c r="J137" s="1012"/>
      <c r="L137" s="223"/>
      <c r="M137" s="223"/>
    </row>
    <row r="138" spans="1:13" ht="12" customHeight="1">
      <c r="A138" s="1038"/>
      <c r="B138" s="1004">
        <v>222</v>
      </c>
      <c r="C138" s="244">
        <v>2014</v>
      </c>
      <c r="D138" s="245" t="s">
        <v>462</v>
      </c>
      <c r="E138" s="245">
        <v>44114</v>
      </c>
      <c r="F138" s="254">
        <v>0.6</v>
      </c>
      <c r="G138" s="248">
        <f t="shared" ref="G138:G143" si="11">1*F138</f>
        <v>0.6</v>
      </c>
      <c r="H138" s="255">
        <v>2</v>
      </c>
      <c r="I138" s="273">
        <f>IF(C144="","",IF(OR(G144&gt;=5,H144&gt;=20),1,IF(OR(G144&gt;=4,H144&gt;=18),0.9,IF(OR(G144&gt;=3,H144&gt;=16),0.8,IF(OR(G144&gt;=2,H144&gt;=14),0.7,IF(OR(G144&gt;=1,H144&gt;=12),0.6,0))))))</f>
        <v>0.8</v>
      </c>
      <c r="J138" s="1010">
        <f>IF(C144="","",0.5*I138)</f>
        <v>0.4</v>
      </c>
      <c r="L138" s="223"/>
      <c r="M138" s="223"/>
    </row>
    <row r="139" spans="1:13" ht="12" customHeight="1">
      <c r="A139" s="1038"/>
      <c r="B139" s="1005"/>
      <c r="C139" s="244">
        <v>2014</v>
      </c>
      <c r="D139" s="245" t="s">
        <v>462</v>
      </c>
      <c r="E139" s="245">
        <v>44115</v>
      </c>
      <c r="F139" s="254">
        <v>0.6</v>
      </c>
      <c r="G139" s="248">
        <f t="shared" si="11"/>
        <v>0.6</v>
      </c>
      <c r="H139" s="255">
        <v>2</v>
      </c>
      <c r="I139" s="274"/>
      <c r="J139" s="1011"/>
      <c r="L139" s="223"/>
      <c r="M139" s="223"/>
    </row>
    <row r="140" spans="1:13" ht="12" customHeight="1">
      <c r="A140" s="1038"/>
      <c r="B140" s="1005"/>
      <c r="C140" s="244">
        <v>2014</v>
      </c>
      <c r="D140" s="245" t="s">
        <v>462</v>
      </c>
      <c r="E140" s="245">
        <v>44116</v>
      </c>
      <c r="F140" s="254">
        <v>0.6</v>
      </c>
      <c r="G140" s="248">
        <f t="shared" si="11"/>
        <v>0.6</v>
      </c>
      <c r="H140" s="255">
        <v>2</v>
      </c>
      <c r="I140" s="274"/>
      <c r="J140" s="1011"/>
      <c r="L140" s="223"/>
      <c r="M140" s="223"/>
    </row>
    <row r="141" spans="1:13" ht="12" customHeight="1">
      <c r="A141" s="1038"/>
      <c r="B141" s="1005"/>
      <c r="C141" s="244">
        <v>2014</v>
      </c>
      <c r="D141" s="245" t="s">
        <v>462</v>
      </c>
      <c r="E141" s="245">
        <v>44117</v>
      </c>
      <c r="F141" s="254">
        <v>0.6</v>
      </c>
      <c r="G141" s="248">
        <f t="shared" si="11"/>
        <v>0.6</v>
      </c>
      <c r="H141" s="255">
        <v>2</v>
      </c>
      <c r="I141" s="274"/>
      <c r="J141" s="1011"/>
      <c r="L141" s="223"/>
      <c r="M141" s="223"/>
    </row>
    <row r="142" spans="1:13" ht="12" customHeight="1">
      <c r="A142" s="1038"/>
      <c r="B142" s="1005"/>
      <c r="C142" s="244">
        <v>2014</v>
      </c>
      <c r="D142" s="245" t="s">
        <v>462</v>
      </c>
      <c r="E142" s="245">
        <v>44118</v>
      </c>
      <c r="F142" s="254">
        <v>0.6</v>
      </c>
      <c r="G142" s="248">
        <f t="shared" si="11"/>
        <v>0.6</v>
      </c>
      <c r="H142" s="255">
        <v>2</v>
      </c>
      <c r="I142" s="274"/>
      <c r="J142" s="1011"/>
      <c r="L142" s="223"/>
      <c r="M142" s="223"/>
    </row>
    <row r="143" spans="1:13" ht="12" customHeight="1">
      <c r="A143" s="1038"/>
      <c r="B143" s="1005"/>
      <c r="C143" s="244">
        <v>2014</v>
      </c>
      <c r="D143" s="245" t="s">
        <v>462</v>
      </c>
      <c r="E143" s="245">
        <v>44119</v>
      </c>
      <c r="F143" s="254">
        <v>0.6</v>
      </c>
      <c r="G143" s="248">
        <f t="shared" si="11"/>
        <v>0.6</v>
      </c>
      <c r="H143" s="255">
        <v>2</v>
      </c>
      <c r="I143" s="274"/>
      <c r="J143" s="1011"/>
      <c r="L143" s="223"/>
      <c r="M143" s="223"/>
    </row>
    <row r="144" spans="1:13" ht="12" customHeight="1">
      <c r="A144" s="1038"/>
      <c r="B144" s="1006"/>
      <c r="C144" s="1013" t="s">
        <v>102</v>
      </c>
      <c r="D144" s="1014"/>
      <c r="E144" s="1014"/>
      <c r="F144" s="1015"/>
      <c r="G144" s="258">
        <f>SUM(G138:G143)</f>
        <v>3.6</v>
      </c>
      <c r="H144" s="258">
        <f>SUM(H138:H143)</f>
        <v>12</v>
      </c>
      <c r="I144" s="275"/>
      <c r="J144" s="1012"/>
      <c r="L144" s="223"/>
      <c r="M144" s="223"/>
    </row>
    <row r="145" spans="1:20" ht="12" customHeight="1">
      <c r="A145" s="1038"/>
      <c r="B145" s="1004">
        <v>222</v>
      </c>
      <c r="C145" s="244">
        <v>2014</v>
      </c>
      <c r="D145" s="245" t="s">
        <v>462</v>
      </c>
      <c r="E145" s="245">
        <v>44114</v>
      </c>
      <c r="F145" s="254">
        <v>0.6</v>
      </c>
      <c r="G145" s="248">
        <f t="shared" ref="G145:G150" si="12">1*F145</f>
        <v>0.6</v>
      </c>
      <c r="H145" s="255">
        <v>2</v>
      </c>
      <c r="I145" s="273">
        <f>IF(C151="","",IF(OR(G151&gt;=5,H151&gt;=20),1,IF(OR(G151&gt;=4,H151&gt;=18),0.9,IF(OR(G151&gt;=3,H151&gt;=16),0.8,IF(OR(G151&gt;=2,H151&gt;=14),0.7,IF(OR(G151&gt;=1,H151&gt;=12),0.6,0))))))</f>
        <v>0.8</v>
      </c>
      <c r="J145" s="1010">
        <f>IF(C151="","",0.5*I145)</f>
        <v>0.4</v>
      </c>
      <c r="L145" s="223"/>
      <c r="M145" s="223"/>
    </row>
    <row r="146" spans="1:20" ht="12" customHeight="1">
      <c r="A146" s="1038"/>
      <c r="B146" s="1005"/>
      <c r="C146" s="244">
        <v>2014</v>
      </c>
      <c r="D146" s="245" t="s">
        <v>462</v>
      </c>
      <c r="E146" s="245">
        <v>44115</v>
      </c>
      <c r="F146" s="254">
        <v>0.6</v>
      </c>
      <c r="G146" s="248">
        <f t="shared" si="12"/>
        <v>0.6</v>
      </c>
      <c r="H146" s="255">
        <v>2</v>
      </c>
      <c r="I146" s="274"/>
      <c r="J146" s="1011"/>
      <c r="L146" s="223"/>
      <c r="M146" s="223"/>
    </row>
    <row r="147" spans="1:20" ht="12" customHeight="1">
      <c r="A147" s="1038"/>
      <c r="B147" s="1005"/>
      <c r="C147" s="244">
        <v>2014</v>
      </c>
      <c r="D147" s="245" t="s">
        <v>462</v>
      </c>
      <c r="E147" s="245">
        <v>44116</v>
      </c>
      <c r="F147" s="254">
        <v>0.6</v>
      </c>
      <c r="G147" s="248">
        <f t="shared" si="12"/>
        <v>0.6</v>
      </c>
      <c r="H147" s="255">
        <v>2</v>
      </c>
      <c r="I147" s="274"/>
      <c r="J147" s="1011"/>
      <c r="L147" s="223"/>
      <c r="M147" s="223"/>
    </row>
    <row r="148" spans="1:20" ht="12" customHeight="1">
      <c r="A148" s="1038"/>
      <c r="B148" s="1005"/>
      <c r="C148" s="244">
        <v>2014</v>
      </c>
      <c r="D148" s="245" t="s">
        <v>462</v>
      </c>
      <c r="E148" s="245">
        <v>44117</v>
      </c>
      <c r="F148" s="254">
        <v>0.6</v>
      </c>
      <c r="G148" s="248">
        <f t="shared" si="12"/>
        <v>0.6</v>
      </c>
      <c r="H148" s="255">
        <v>2</v>
      </c>
      <c r="I148" s="274"/>
      <c r="J148" s="1011"/>
      <c r="L148" s="223"/>
      <c r="M148" s="223"/>
    </row>
    <row r="149" spans="1:20" ht="12" customHeight="1">
      <c r="A149" s="1038"/>
      <c r="B149" s="1005"/>
      <c r="C149" s="244">
        <v>2014</v>
      </c>
      <c r="D149" s="245" t="s">
        <v>462</v>
      </c>
      <c r="E149" s="245">
        <v>44118</v>
      </c>
      <c r="F149" s="254">
        <v>0.6</v>
      </c>
      <c r="G149" s="248">
        <f t="shared" si="12"/>
        <v>0.6</v>
      </c>
      <c r="H149" s="255">
        <v>2</v>
      </c>
      <c r="I149" s="274"/>
      <c r="J149" s="1011"/>
      <c r="L149" s="223"/>
      <c r="M149" s="223"/>
    </row>
    <row r="150" spans="1:20" ht="12" customHeight="1">
      <c r="A150" s="1038"/>
      <c r="B150" s="1005"/>
      <c r="C150" s="244">
        <v>2014</v>
      </c>
      <c r="D150" s="245" t="s">
        <v>462</v>
      </c>
      <c r="E150" s="245">
        <v>44119</v>
      </c>
      <c r="F150" s="254">
        <v>0.6</v>
      </c>
      <c r="G150" s="248">
        <f t="shared" si="12"/>
        <v>0.6</v>
      </c>
      <c r="H150" s="255">
        <v>2</v>
      </c>
      <c r="I150" s="274"/>
      <c r="J150" s="1011"/>
      <c r="L150" s="223"/>
      <c r="M150" s="223"/>
    </row>
    <row r="151" spans="1:20" ht="12" customHeight="1">
      <c r="A151" s="1038"/>
      <c r="B151" s="1006"/>
      <c r="C151" s="1013" t="s">
        <v>102</v>
      </c>
      <c r="D151" s="1014"/>
      <c r="E151" s="1014"/>
      <c r="F151" s="1015"/>
      <c r="G151" s="258">
        <f>SUM(G145:G150)</f>
        <v>3.6</v>
      </c>
      <c r="H151" s="258">
        <f>SUM(H145:H150)</f>
        <v>12</v>
      </c>
      <c r="I151" s="275"/>
      <c r="J151" s="1012"/>
      <c r="L151" s="223"/>
      <c r="M151" s="223"/>
    </row>
    <row r="152" spans="1:20" ht="12" customHeight="1">
      <c r="A152" s="1038"/>
      <c r="B152" s="1004">
        <v>222</v>
      </c>
      <c r="C152" s="244">
        <v>2014</v>
      </c>
      <c r="D152" s="245" t="s">
        <v>462</v>
      </c>
      <c r="E152" s="245">
        <v>44114</v>
      </c>
      <c r="F152" s="254">
        <v>0.6</v>
      </c>
      <c r="G152" s="248">
        <f t="shared" ref="G152:G157" si="13">1*F152</f>
        <v>0.6</v>
      </c>
      <c r="H152" s="255">
        <v>2</v>
      </c>
      <c r="I152" s="273">
        <f>IF(C158="","",IF(OR(G158&gt;=5,H158&gt;=20),1,IF(OR(G158&gt;=4,H158&gt;=18),0.9,IF(OR(G158&gt;=3,H158&gt;=16),0.8,IF(OR(G158&gt;=2,H158&gt;=14),0.7,IF(OR(G158&gt;=1,H158&gt;=12),0.6,0))))))</f>
        <v>0.8</v>
      </c>
      <c r="J152" s="1010">
        <f>IF(C158="","",0.5*I152)</f>
        <v>0.4</v>
      </c>
      <c r="L152" s="223"/>
      <c r="M152" s="223"/>
    </row>
    <row r="153" spans="1:20" ht="12" customHeight="1">
      <c r="A153" s="1038"/>
      <c r="B153" s="1005"/>
      <c r="C153" s="244">
        <v>2014</v>
      </c>
      <c r="D153" s="245" t="s">
        <v>462</v>
      </c>
      <c r="E153" s="245">
        <v>44115</v>
      </c>
      <c r="F153" s="254">
        <v>0.6</v>
      </c>
      <c r="G153" s="248">
        <f t="shared" si="13"/>
        <v>0.6</v>
      </c>
      <c r="H153" s="255">
        <v>2</v>
      </c>
      <c r="I153" s="274"/>
      <c r="J153" s="1011"/>
      <c r="L153" s="223"/>
      <c r="M153" s="223"/>
    </row>
    <row r="154" spans="1:20" ht="12" customHeight="1">
      <c r="A154" s="1038"/>
      <c r="B154" s="1005"/>
      <c r="C154" s="244">
        <v>2014</v>
      </c>
      <c r="D154" s="245" t="s">
        <v>462</v>
      </c>
      <c r="E154" s="245">
        <v>44116</v>
      </c>
      <c r="F154" s="254">
        <v>0.6</v>
      </c>
      <c r="G154" s="248">
        <f t="shared" si="13"/>
        <v>0.6</v>
      </c>
      <c r="H154" s="255">
        <v>2</v>
      </c>
      <c r="I154" s="274"/>
      <c r="J154" s="1011"/>
      <c r="L154" s="223"/>
      <c r="M154" s="223"/>
    </row>
    <row r="155" spans="1:20" ht="12" customHeight="1">
      <c r="A155" s="1038"/>
      <c r="B155" s="1005"/>
      <c r="C155" s="244">
        <v>2014</v>
      </c>
      <c r="D155" s="245" t="s">
        <v>462</v>
      </c>
      <c r="E155" s="245">
        <v>44117</v>
      </c>
      <c r="F155" s="254">
        <v>0.6</v>
      </c>
      <c r="G155" s="248">
        <f t="shared" si="13"/>
        <v>0.6</v>
      </c>
      <c r="H155" s="255">
        <v>2</v>
      </c>
      <c r="I155" s="274"/>
      <c r="J155" s="1011"/>
      <c r="L155" s="223"/>
      <c r="M155" s="223"/>
    </row>
    <row r="156" spans="1:20" ht="12" customHeight="1">
      <c r="A156" s="1038"/>
      <c r="B156" s="1005"/>
      <c r="C156" s="244">
        <v>2014</v>
      </c>
      <c r="D156" s="245" t="s">
        <v>462</v>
      </c>
      <c r="E156" s="245">
        <v>44118</v>
      </c>
      <c r="F156" s="254">
        <v>0.6</v>
      </c>
      <c r="G156" s="248">
        <f t="shared" si="13"/>
        <v>0.6</v>
      </c>
      <c r="H156" s="255">
        <v>2</v>
      </c>
      <c r="I156" s="274"/>
      <c r="J156" s="1011"/>
      <c r="L156" s="223"/>
      <c r="M156" s="223"/>
    </row>
    <row r="157" spans="1:20" ht="12" customHeight="1">
      <c r="A157" s="1038"/>
      <c r="B157" s="1005"/>
      <c r="C157" s="244">
        <v>2014</v>
      </c>
      <c r="D157" s="245" t="s">
        <v>462</v>
      </c>
      <c r="E157" s="245">
        <v>44119</v>
      </c>
      <c r="F157" s="254">
        <v>0.6</v>
      </c>
      <c r="G157" s="248">
        <f t="shared" si="13"/>
        <v>0.6</v>
      </c>
      <c r="H157" s="255">
        <v>2</v>
      </c>
      <c r="I157" s="274"/>
      <c r="J157" s="1011"/>
      <c r="L157" s="223"/>
      <c r="M157" s="223"/>
    </row>
    <row r="158" spans="1:20" ht="12" customHeight="1">
      <c r="A158" s="1038"/>
      <c r="B158" s="1006"/>
      <c r="C158" s="1013" t="s">
        <v>102</v>
      </c>
      <c r="D158" s="1014"/>
      <c r="E158" s="1014"/>
      <c r="F158" s="1015"/>
      <c r="G158" s="258">
        <f>SUM(G152:G157)</f>
        <v>3.6</v>
      </c>
      <c r="H158" s="258">
        <f>SUM(H152:H157)</f>
        <v>12</v>
      </c>
      <c r="I158" s="275"/>
      <c r="J158" s="1012"/>
      <c r="L158" s="223"/>
      <c r="M158" s="223"/>
    </row>
    <row r="159" spans="1:20" ht="12" customHeight="1">
      <c r="A159" s="1031" t="s">
        <v>103</v>
      </c>
      <c r="B159" s="1032"/>
      <c r="C159" s="1032"/>
      <c r="D159" s="1032"/>
      <c r="E159" s="1032"/>
      <c r="F159" s="1032"/>
      <c r="G159" s="1032"/>
      <c r="H159" s="1032"/>
      <c r="I159" s="1033"/>
      <c r="J159" s="261">
        <f>SUM(J110:J158)</f>
        <v>2.7499999999999996</v>
      </c>
      <c r="L159" s="1034"/>
      <c r="M159" s="1034"/>
      <c r="N159" s="1034"/>
      <c r="O159" s="1034"/>
      <c r="P159" s="1034"/>
      <c r="Q159" s="1034"/>
      <c r="R159" s="1034"/>
      <c r="S159" s="1034"/>
      <c r="T159" s="1034"/>
    </row>
    <row r="160" spans="1:20" ht="12" customHeight="1">
      <c r="A160" s="262"/>
      <c r="B160" s="262"/>
      <c r="C160" s="262"/>
      <c r="D160" s="262"/>
      <c r="E160" s="262"/>
      <c r="F160" s="262"/>
      <c r="G160" s="262"/>
      <c r="H160" s="262"/>
      <c r="I160" s="262"/>
      <c r="J160" s="262"/>
      <c r="K160" s="263"/>
      <c r="L160" s="1034"/>
      <c r="M160" s="1034"/>
      <c r="N160" s="1034"/>
      <c r="O160" s="1034"/>
      <c r="P160" s="1034"/>
      <c r="Q160" s="1034"/>
      <c r="R160" s="1034"/>
      <c r="S160" s="1034"/>
      <c r="T160" s="1034"/>
    </row>
    <row r="161" spans="1:13" ht="12" customHeight="1">
      <c r="A161" s="223"/>
      <c r="B161" s="219"/>
      <c r="C161" s="219"/>
      <c r="D161" s="219"/>
      <c r="E161" s="220"/>
      <c r="F161" s="220"/>
      <c r="G161" s="221"/>
      <c r="H161" s="221"/>
      <c r="I161" s="221"/>
      <c r="J161" s="221"/>
      <c r="K161" s="221"/>
      <c r="L161" s="220"/>
      <c r="M161" s="222"/>
    </row>
    <row r="162" spans="1:13" ht="26.25" customHeight="1">
      <c r="A162" s="998" t="s">
        <v>104</v>
      </c>
      <c r="B162" s="999"/>
      <c r="C162" s="999"/>
      <c r="D162" s="999"/>
      <c r="E162" s="999"/>
      <c r="F162" s="999"/>
      <c r="G162" s="999"/>
      <c r="H162" s="999"/>
      <c r="I162" s="999"/>
      <c r="J162" s="1000"/>
      <c r="K162" s="237" t="s">
        <v>83</v>
      </c>
      <c r="L162" s="238">
        <f>'자기평가서(2단계-종합기술제안서 정량평가)'!K4</f>
        <v>45972</v>
      </c>
    </row>
    <row r="163" spans="1:13" ht="12" customHeight="1">
      <c r="A163" s="239" t="s">
        <v>84</v>
      </c>
      <c r="B163" s="239" t="s">
        <v>105</v>
      </c>
      <c r="C163" s="239" t="s">
        <v>97</v>
      </c>
      <c r="D163" s="239" t="s">
        <v>87</v>
      </c>
      <c r="E163" s="239" t="s">
        <v>106</v>
      </c>
      <c r="F163" s="239" t="s">
        <v>98</v>
      </c>
      <c r="G163" s="240" t="s">
        <v>99</v>
      </c>
      <c r="H163" s="240" t="s">
        <v>107</v>
      </c>
      <c r="I163" s="239" t="s">
        <v>108</v>
      </c>
      <c r="J163" s="239" t="s">
        <v>109</v>
      </c>
      <c r="K163" s="239" t="s">
        <v>110</v>
      </c>
      <c r="L163" s="239" t="s">
        <v>91</v>
      </c>
    </row>
    <row r="164" spans="1:13" ht="12" customHeight="1">
      <c r="A164" s="1035" t="s">
        <v>113</v>
      </c>
      <c r="B164" s="1018" t="s">
        <v>463</v>
      </c>
      <c r="C164" s="244">
        <v>1</v>
      </c>
      <c r="D164" s="1021">
        <v>39794</v>
      </c>
      <c r="E164" s="1021">
        <v>44114</v>
      </c>
      <c r="F164" s="265">
        <v>0.6</v>
      </c>
      <c r="G164" s="248">
        <f>1*F164</f>
        <v>0.6</v>
      </c>
      <c r="H164" s="246">
        <v>20</v>
      </c>
      <c r="I164" s="1024">
        <f>ROUNDDOWN(($L$31-D164)/365,1)</f>
        <v>16.899999999999999</v>
      </c>
      <c r="J164" s="1024">
        <f>IF(C164="","",IF(AND(I164&lt;20,I164&gt;=10),0.6,IF(AND(I164&lt;10,I164&gt;=5),0.8,IF(I164&lt;5,1,0))))</f>
        <v>0.6</v>
      </c>
      <c r="K164" s="1024">
        <f>IF(C169="","",IF(OR(G169&gt;=5,H169&gt;=20),1,IF(OR(G169&gt;=4,H169&gt;=18),0.9,IF(OR(G169&gt;=3,H169&gt;=16),0.8,IF(OR(G169&gt;=2,H169&gt;=14),0.7,IF(OR(G169&gt;=1,H169&gt;=12),0.6,0))))))</f>
        <v>1</v>
      </c>
      <c r="L164" s="1016">
        <f>IF(C164="","",0.3*J164*K164)</f>
        <v>0.18</v>
      </c>
    </row>
    <row r="165" spans="1:13" ht="12" customHeight="1">
      <c r="A165" s="1036"/>
      <c r="B165" s="1019"/>
      <c r="C165" s="244">
        <v>2</v>
      </c>
      <c r="D165" s="1022"/>
      <c r="E165" s="1022"/>
      <c r="F165" s="265">
        <v>0.6</v>
      </c>
      <c r="G165" s="248">
        <f>1*F165</f>
        <v>0.6</v>
      </c>
      <c r="H165" s="246">
        <v>20</v>
      </c>
      <c r="I165" s="1025"/>
      <c r="J165" s="1025"/>
      <c r="K165" s="1025"/>
      <c r="L165" s="1027"/>
    </row>
    <row r="166" spans="1:13" ht="12" customHeight="1">
      <c r="A166" s="1036"/>
      <c r="B166" s="1019"/>
      <c r="C166" s="244">
        <v>3</v>
      </c>
      <c r="D166" s="1022"/>
      <c r="E166" s="1022"/>
      <c r="F166" s="265">
        <v>0.6</v>
      </c>
      <c r="G166" s="248">
        <f>1*F166</f>
        <v>0.6</v>
      </c>
      <c r="H166" s="246">
        <v>20</v>
      </c>
      <c r="I166" s="1025"/>
      <c r="J166" s="1025"/>
      <c r="K166" s="1025"/>
      <c r="L166" s="1027"/>
    </row>
    <row r="167" spans="1:13" ht="12" customHeight="1">
      <c r="A167" s="1036"/>
      <c r="B167" s="1019"/>
      <c r="C167" s="244">
        <v>4</v>
      </c>
      <c r="D167" s="1022"/>
      <c r="E167" s="1022"/>
      <c r="F167" s="265">
        <v>0.6</v>
      </c>
      <c r="G167" s="248">
        <f>1*F167</f>
        <v>0.6</v>
      </c>
      <c r="H167" s="246">
        <v>20</v>
      </c>
      <c r="I167" s="1025"/>
      <c r="J167" s="1025"/>
      <c r="K167" s="1025"/>
      <c r="L167" s="1027"/>
    </row>
    <row r="168" spans="1:13" ht="12" customHeight="1">
      <c r="A168" s="1036"/>
      <c r="B168" s="1019"/>
      <c r="C168" s="244">
        <v>5</v>
      </c>
      <c r="D168" s="1023"/>
      <c r="E168" s="1023"/>
      <c r="F168" s="265">
        <v>0.6</v>
      </c>
      <c r="G168" s="248">
        <f>1*F168</f>
        <v>0.6</v>
      </c>
      <c r="H168" s="246">
        <v>20</v>
      </c>
      <c r="I168" s="1025"/>
      <c r="J168" s="1025"/>
      <c r="K168" s="1025"/>
      <c r="L168" s="1027"/>
    </row>
    <row r="169" spans="1:13" ht="12" customHeight="1">
      <c r="A169" s="1036"/>
      <c r="B169" s="1020"/>
      <c r="C169" s="1028" t="s">
        <v>102</v>
      </c>
      <c r="D169" s="1029"/>
      <c r="E169" s="1029"/>
      <c r="F169" s="1030"/>
      <c r="G169" s="248">
        <f>SUM(G164:G168)</f>
        <v>3</v>
      </c>
      <c r="H169" s="248">
        <f>SUM(H164:H168)</f>
        <v>100</v>
      </c>
      <c r="I169" s="1026"/>
      <c r="J169" s="1026"/>
      <c r="K169" s="1026"/>
      <c r="L169" s="1017"/>
    </row>
    <row r="170" spans="1:13" ht="12" customHeight="1">
      <c r="A170" s="1036"/>
      <c r="B170" s="1018" t="s">
        <v>463</v>
      </c>
      <c r="C170" s="244">
        <v>1</v>
      </c>
      <c r="D170" s="1021">
        <v>39794</v>
      </c>
      <c r="E170" s="1021">
        <v>44114</v>
      </c>
      <c r="F170" s="265">
        <v>1</v>
      </c>
      <c r="G170" s="248">
        <f>1*F170</f>
        <v>1</v>
      </c>
      <c r="H170" s="246">
        <v>1</v>
      </c>
      <c r="I170" s="1024">
        <f>ROUNDDOWN(($L$31-D170)/365,1)</f>
        <v>16.899999999999999</v>
      </c>
      <c r="J170" s="1024">
        <f>IF(C170="","",IF(AND(I170&lt;20,I170&gt;=10),0.6,IF(AND(I170&lt;10,I170&gt;=5),0.8,IF(I170&lt;5,1,0))))</f>
        <v>0.6</v>
      </c>
      <c r="K170" s="1024">
        <f>IF(C175="","",IF(OR(G175&gt;=5,H175&gt;=20),1,IF(OR(G175&gt;=4,H175&gt;=18),0.9,IF(OR(G175&gt;=3,H175&gt;=16),0.8,IF(OR(G175&gt;=2,H175&gt;=14),0.7,IF(OR(G175&gt;=1,H175&gt;=12),0.6,0))))))</f>
        <v>0.8</v>
      </c>
      <c r="L170" s="1016">
        <f>IF(C170="","",0.3*J170*K170)</f>
        <v>0.14399999999999999</v>
      </c>
    </row>
    <row r="171" spans="1:13" ht="12" customHeight="1">
      <c r="A171" s="1036"/>
      <c r="B171" s="1019"/>
      <c r="C171" s="244">
        <v>2</v>
      </c>
      <c r="D171" s="1022"/>
      <c r="E171" s="1022"/>
      <c r="F171" s="265">
        <v>0.6</v>
      </c>
      <c r="G171" s="248">
        <f>1*F171</f>
        <v>0.6</v>
      </c>
      <c r="H171" s="246">
        <v>1</v>
      </c>
      <c r="I171" s="1025"/>
      <c r="J171" s="1025"/>
      <c r="K171" s="1025"/>
      <c r="L171" s="1027"/>
    </row>
    <row r="172" spans="1:13" ht="12" customHeight="1">
      <c r="A172" s="1036"/>
      <c r="B172" s="1019"/>
      <c r="C172" s="244">
        <v>3</v>
      </c>
      <c r="D172" s="1022"/>
      <c r="E172" s="1022"/>
      <c r="F172" s="265">
        <v>0.6</v>
      </c>
      <c r="G172" s="248">
        <f>1*F172</f>
        <v>0.6</v>
      </c>
      <c r="H172" s="246">
        <v>1</v>
      </c>
      <c r="I172" s="1025"/>
      <c r="J172" s="1025"/>
      <c r="K172" s="1025"/>
      <c r="L172" s="1027"/>
    </row>
    <row r="173" spans="1:13" ht="12" customHeight="1">
      <c r="A173" s="1036"/>
      <c r="B173" s="1019"/>
      <c r="C173" s="244">
        <v>4</v>
      </c>
      <c r="D173" s="1022"/>
      <c r="E173" s="1022"/>
      <c r="F173" s="265">
        <v>0.6</v>
      </c>
      <c r="G173" s="248">
        <f>1*F173</f>
        <v>0.6</v>
      </c>
      <c r="H173" s="246">
        <v>1</v>
      </c>
      <c r="I173" s="1025"/>
      <c r="J173" s="1025"/>
      <c r="K173" s="1025"/>
      <c r="L173" s="1027"/>
    </row>
    <row r="174" spans="1:13" ht="12" customHeight="1">
      <c r="A174" s="1036"/>
      <c r="B174" s="1019"/>
      <c r="C174" s="244">
        <v>5</v>
      </c>
      <c r="D174" s="1023"/>
      <c r="E174" s="1023"/>
      <c r="F174" s="265">
        <v>0.6</v>
      </c>
      <c r="G174" s="248">
        <f>1*F174</f>
        <v>0.6</v>
      </c>
      <c r="H174" s="246">
        <v>1</v>
      </c>
      <c r="I174" s="1025"/>
      <c r="J174" s="1025"/>
      <c r="K174" s="1025"/>
      <c r="L174" s="1027"/>
    </row>
    <row r="175" spans="1:13" ht="12" customHeight="1">
      <c r="A175" s="1036"/>
      <c r="B175" s="1020"/>
      <c r="C175" s="1028" t="s">
        <v>102</v>
      </c>
      <c r="D175" s="1029"/>
      <c r="E175" s="1029"/>
      <c r="F175" s="1030"/>
      <c r="G175" s="248">
        <f>SUM(G170:G174)</f>
        <v>3.4000000000000004</v>
      </c>
      <c r="H175" s="248">
        <f>SUM(H170:H174)</f>
        <v>5</v>
      </c>
      <c r="I175" s="1026"/>
      <c r="J175" s="1026"/>
      <c r="K175" s="1026"/>
      <c r="L175" s="1017"/>
    </row>
    <row r="176" spans="1:13" ht="12" customHeight="1">
      <c r="A176" s="1036"/>
      <c r="B176" s="1018" t="s">
        <v>463</v>
      </c>
      <c r="C176" s="244">
        <v>1</v>
      </c>
      <c r="D176" s="1021">
        <v>39794</v>
      </c>
      <c r="E176" s="1021">
        <v>44114</v>
      </c>
      <c r="F176" s="265">
        <v>1</v>
      </c>
      <c r="G176" s="248">
        <f>1*F176</f>
        <v>1</v>
      </c>
      <c r="H176" s="246">
        <v>1</v>
      </c>
      <c r="I176" s="1024">
        <f>ROUNDDOWN(($L$31-D176)/365,1)</f>
        <v>16.899999999999999</v>
      </c>
      <c r="J176" s="1024">
        <f>IF(C176="","",IF(AND(I176&lt;20,I176&gt;=10),0.6,IF(AND(I176&lt;10,I176&gt;=5),0.8,IF(I176&lt;5,1,0))))</f>
        <v>0.6</v>
      </c>
      <c r="K176" s="1024">
        <f>IF(C181="","",IF(OR(G181&gt;=5,H181&gt;=20),1,IF(OR(G181&gt;=4,H181&gt;=18),0.9,IF(OR(G181&gt;=3,H181&gt;=16),0.8,IF(OR(G181&gt;=2,H181&gt;=14),0.7,IF(OR(G181&gt;=1,H181&gt;=12),0.6,0))))))</f>
        <v>0.8</v>
      </c>
      <c r="L176" s="1016">
        <f>IF(C176="","",0.3*J176*K176)</f>
        <v>0.14399999999999999</v>
      </c>
    </row>
    <row r="177" spans="1:12" ht="12" customHeight="1">
      <c r="A177" s="1036"/>
      <c r="B177" s="1019"/>
      <c r="C177" s="244">
        <v>2</v>
      </c>
      <c r="D177" s="1022"/>
      <c r="E177" s="1022"/>
      <c r="F177" s="265">
        <v>0.6</v>
      </c>
      <c r="G177" s="248">
        <f>1*F177</f>
        <v>0.6</v>
      </c>
      <c r="H177" s="246">
        <v>1</v>
      </c>
      <c r="I177" s="1025"/>
      <c r="J177" s="1025"/>
      <c r="K177" s="1025"/>
      <c r="L177" s="1027"/>
    </row>
    <row r="178" spans="1:12" ht="12" customHeight="1">
      <c r="A178" s="1036"/>
      <c r="B178" s="1019"/>
      <c r="C178" s="244">
        <v>3</v>
      </c>
      <c r="D178" s="1022"/>
      <c r="E178" s="1022"/>
      <c r="F178" s="265">
        <v>0.6</v>
      </c>
      <c r="G178" s="248">
        <f>1*F178</f>
        <v>0.6</v>
      </c>
      <c r="H178" s="246">
        <v>1</v>
      </c>
      <c r="I178" s="1025"/>
      <c r="J178" s="1025"/>
      <c r="K178" s="1025"/>
      <c r="L178" s="1027"/>
    </row>
    <row r="179" spans="1:12" ht="12" customHeight="1">
      <c r="A179" s="1036"/>
      <c r="B179" s="1019"/>
      <c r="C179" s="244">
        <v>4</v>
      </c>
      <c r="D179" s="1022"/>
      <c r="E179" s="1022"/>
      <c r="F179" s="265">
        <v>0.6</v>
      </c>
      <c r="G179" s="248">
        <f>1*F179</f>
        <v>0.6</v>
      </c>
      <c r="H179" s="246">
        <v>1</v>
      </c>
      <c r="I179" s="1025"/>
      <c r="J179" s="1025"/>
      <c r="K179" s="1025"/>
      <c r="L179" s="1027"/>
    </row>
    <row r="180" spans="1:12" ht="12" customHeight="1">
      <c r="A180" s="1036"/>
      <c r="B180" s="1019"/>
      <c r="C180" s="244">
        <v>5</v>
      </c>
      <c r="D180" s="1023"/>
      <c r="E180" s="1023"/>
      <c r="F180" s="265">
        <v>0.6</v>
      </c>
      <c r="G180" s="248">
        <f>1*F180</f>
        <v>0.6</v>
      </c>
      <c r="H180" s="246">
        <v>1</v>
      </c>
      <c r="I180" s="1025"/>
      <c r="J180" s="1025"/>
      <c r="K180" s="1025"/>
      <c r="L180" s="1027"/>
    </row>
    <row r="181" spans="1:12" ht="12" customHeight="1">
      <c r="A181" s="1036"/>
      <c r="B181" s="1020"/>
      <c r="C181" s="1028" t="s">
        <v>102</v>
      </c>
      <c r="D181" s="1029"/>
      <c r="E181" s="1029"/>
      <c r="F181" s="1030"/>
      <c r="G181" s="248">
        <f>SUM(G176:G180)</f>
        <v>3.4000000000000004</v>
      </c>
      <c r="H181" s="248">
        <f>SUM(H176:H180)</f>
        <v>5</v>
      </c>
      <c r="I181" s="1026"/>
      <c r="J181" s="1026"/>
      <c r="K181" s="1026"/>
      <c r="L181" s="1017"/>
    </row>
    <row r="182" spans="1:12" ht="12" customHeight="1">
      <c r="A182" s="1036"/>
      <c r="B182" s="1018" t="s">
        <v>463</v>
      </c>
      <c r="C182" s="244">
        <v>1</v>
      </c>
      <c r="D182" s="1021">
        <v>39794</v>
      </c>
      <c r="E182" s="1021">
        <v>44114</v>
      </c>
      <c r="F182" s="265">
        <v>1</v>
      </c>
      <c r="G182" s="248">
        <f>1*F182</f>
        <v>1</v>
      </c>
      <c r="H182" s="246">
        <v>1</v>
      </c>
      <c r="I182" s="1024">
        <f>ROUNDDOWN(($L$31-D182)/365,1)</f>
        <v>16.899999999999999</v>
      </c>
      <c r="J182" s="1024">
        <f>IF(C182="","",IF(AND(I182&lt;20,I182&gt;=10),0.6,IF(AND(I182&lt;10,I182&gt;=5),0.8,IF(I182&lt;5,1,0))))</f>
        <v>0.6</v>
      </c>
      <c r="K182" s="1024">
        <f>IF(C187="","",IF(OR(G187&gt;=5,H187&gt;=20),1,IF(OR(G187&gt;=4,H187&gt;=18),0.9,IF(OR(G187&gt;=3,H187&gt;=16),0.8,IF(OR(G187&gt;=2,H187&gt;=14),0.7,IF(OR(G187&gt;=1,H187&gt;=12),0.6,0))))))</f>
        <v>0.8</v>
      </c>
      <c r="L182" s="1016">
        <f>IF(C182="","",0.3*J182*K182)</f>
        <v>0.14399999999999999</v>
      </c>
    </row>
    <row r="183" spans="1:12" ht="12" customHeight="1">
      <c r="A183" s="1036"/>
      <c r="B183" s="1019"/>
      <c r="C183" s="244">
        <v>2</v>
      </c>
      <c r="D183" s="1022"/>
      <c r="E183" s="1022"/>
      <c r="F183" s="265">
        <v>0.6</v>
      </c>
      <c r="G183" s="248">
        <f>1*F183</f>
        <v>0.6</v>
      </c>
      <c r="H183" s="246">
        <v>1</v>
      </c>
      <c r="I183" s="1025"/>
      <c r="J183" s="1025"/>
      <c r="K183" s="1025"/>
      <c r="L183" s="1027"/>
    </row>
    <row r="184" spans="1:12" ht="12" customHeight="1">
      <c r="A184" s="1036"/>
      <c r="B184" s="1019"/>
      <c r="C184" s="244">
        <v>3</v>
      </c>
      <c r="D184" s="1022"/>
      <c r="E184" s="1022"/>
      <c r="F184" s="265">
        <v>0.6</v>
      </c>
      <c r="G184" s="248">
        <f>1*F184</f>
        <v>0.6</v>
      </c>
      <c r="H184" s="246">
        <v>1</v>
      </c>
      <c r="I184" s="1025"/>
      <c r="J184" s="1025"/>
      <c r="K184" s="1025"/>
      <c r="L184" s="1027"/>
    </row>
    <row r="185" spans="1:12" ht="12" customHeight="1">
      <c r="A185" s="1036"/>
      <c r="B185" s="1019"/>
      <c r="C185" s="244">
        <v>4</v>
      </c>
      <c r="D185" s="1022"/>
      <c r="E185" s="1022"/>
      <c r="F185" s="265">
        <v>0.6</v>
      </c>
      <c r="G185" s="248">
        <f>1*F185</f>
        <v>0.6</v>
      </c>
      <c r="H185" s="246">
        <v>1</v>
      </c>
      <c r="I185" s="1025"/>
      <c r="J185" s="1025"/>
      <c r="K185" s="1025"/>
      <c r="L185" s="1027"/>
    </row>
    <row r="186" spans="1:12" ht="12" customHeight="1">
      <c r="A186" s="1036"/>
      <c r="B186" s="1019"/>
      <c r="C186" s="244">
        <v>5</v>
      </c>
      <c r="D186" s="1023"/>
      <c r="E186" s="1023"/>
      <c r="F186" s="265">
        <v>0.6</v>
      </c>
      <c r="G186" s="248">
        <f>1*F186</f>
        <v>0.6</v>
      </c>
      <c r="H186" s="246">
        <v>1</v>
      </c>
      <c r="I186" s="1025"/>
      <c r="J186" s="1025"/>
      <c r="K186" s="1025"/>
      <c r="L186" s="1027"/>
    </row>
    <row r="187" spans="1:12" ht="12" customHeight="1">
      <c r="A187" s="1036"/>
      <c r="B187" s="1020"/>
      <c r="C187" s="1028" t="s">
        <v>102</v>
      </c>
      <c r="D187" s="1029"/>
      <c r="E187" s="1029"/>
      <c r="F187" s="1030"/>
      <c r="G187" s="248">
        <f>SUM(G182:G186)</f>
        <v>3.4000000000000004</v>
      </c>
      <c r="H187" s="248">
        <f>SUM(H182:H186)</f>
        <v>5</v>
      </c>
      <c r="I187" s="1026"/>
      <c r="J187" s="1026"/>
      <c r="K187" s="1026"/>
      <c r="L187" s="1017"/>
    </row>
    <row r="188" spans="1:12" ht="12" customHeight="1">
      <c r="A188" s="1036"/>
      <c r="B188" s="1018" t="s">
        <v>463</v>
      </c>
      <c r="C188" s="244">
        <v>1</v>
      </c>
      <c r="D188" s="1021">
        <v>39794</v>
      </c>
      <c r="E188" s="1021">
        <v>44114</v>
      </c>
      <c r="F188" s="265">
        <v>1</v>
      </c>
      <c r="G188" s="248">
        <f>1*F188</f>
        <v>1</v>
      </c>
      <c r="H188" s="246">
        <v>1</v>
      </c>
      <c r="I188" s="1024">
        <f>ROUNDDOWN(($L$31-D188)/365,1)</f>
        <v>16.899999999999999</v>
      </c>
      <c r="J188" s="1024">
        <f>IF(C188="","",IF(AND(I188&lt;20,I188&gt;=10),0.6,IF(AND(I188&lt;10,I188&gt;=5),0.8,IF(I188&lt;5,1,0))))</f>
        <v>0.6</v>
      </c>
      <c r="K188" s="1024">
        <f>IF(C193="","",IF(OR(G193&gt;=5,H193&gt;=20),1,IF(OR(G193&gt;=4,H193&gt;=18),0.9,IF(OR(G193&gt;=3,H193&gt;=16),0.8,IF(OR(G193&gt;=2,H193&gt;=14),0.7,IF(OR(G193&gt;=1,H193&gt;=12),0.6,0))))))</f>
        <v>0.8</v>
      </c>
      <c r="L188" s="1016">
        <f>IF(C188="","",0.3*J188*K188)</f>
        <v>0.14399999999999999</v>
      </c>
    </row>
    <row r="189" spans="1:12" ht="12" customHeight="1">
      <c r="A189" s="1036"/>
      <c r="B189" s="1019"/>
      <c r="C189" s="244">
        <v>2</v>
      </c>
      <c r="D189" s="1022"/>
      <c r="E189" s="1022"/>
      <c r="F189" s="265">
        <v>0.6</v>
      </c>
      <c r="G189" s="248">
        <f>1*F189</f>
        <v>0.6</v>
      </c>
      <c r="H189" s="246">
        <v>1</v>
      </c>
      <c r="I189" s="1025"/>
      <c r="J189" s="1025"/>
      <c r="K189" s="1025"/>
      <c r="L189" s="1027"/>
    </row>
    <row r="190" spans="1:12" ht="12" customHeight="1">
      <c r="A190" s="1036"/>
      <c r="B190" s="1019"/>
      <c r="C190" s="244">
        <v>3</v>
      </c>
      <c r="D190" s="1022"/>
      <c r="E190" s="1022"/>
      <c r="F190" s="265">
        <v>0.6</v>
      </c>
      <c r="G190" s="248">
        <f>1*F190</f>
        <v>0.6</v>
      </c>
      <c r="H190" s="246">
        <v>1</v>
      </c>
      <c r="I190" s="1025"/>
      <c r="J190" s="1025"/>
      <c r="K190" s="1025"/>
      <c r="L190" s="1027"/>
    </row>
    <row r="191" spans="1:12" ht="12" customHeight="1">
      <c r="A191" s="1036"/>
      <c r="B191" s="1019"/>
      <c r="C191" s="244">
        <v>4</v>
      </c>
      <c r="D191" s="1022"/>
      <c r="E191" s="1022"/>
      <c r="F191" s="265">
        <v>0.6</v>
      </c>
      <c r="G191" s="248">
        <f>1*F191</f>
        <v>0.6</v>
      </c>
      <c r="H191" s="246">
        <v>1</v>
      </c>
      <c r="I191" s="1025"/>
      <c r="J191" s="1025"/>
      <c r="K191" s="1025"/>
      <c r="L191" s="1027"/>
    </row>
    <row r="192" spans="1:12" ht="12" customHeight="1">
      <c r="A192" s="1036"/>
      <c r="B192" s="1019"/>
      <c r="C192" s="244">
        <v>5</v>
      </c>
      <c r="D192" s="1023"/>
      <c r="E192" s="1023"/>
      <c r="F192" s="265">
        <v>0.6</v>
      </c>
      <c r="G192" s="248">
        <f>1*F192</f>
        <v>0.6</v>
      </c>
      <c r="H192" s="246">
        <v>1</v>
      </c>
      <c r="I192" s="1025"/>
      <c r="J192" s="1025"/>
      <c r="K192" s="1025"/>
      <c r="L192" s="1027"/>
    </row>
    <row r="193" spans="1:13" ht="12" customHeight="1">
      <c r="A193" s="1037"/>
      <c r="B193" s="1020"/>
      <c r="C193" s="1028" t="s">
        <v>102</v>
      </c>
      <c r="D193" s="1029"/>
      <c r="E193" s="1029"/>
      <c r="F193" s="1030"/>
      <c r="G193" s="248">
        <f>SUM(G188:G192)</f>
        <v>3.4000000000000004</v>
      </c>
      <c r="H193" s="248">
        <f>SUM(H188:H192)</f>
        <v>5</v>
      </c>
      <c r="I193" s="1026"/>
      <c r="J193" s="1026"/>
      <c r="K193" s="1026"/>
      <c r="L193" s="1017"/>
    </row>
    <row r="194" spans="1:13" ht="12" customHeight="1">
      <c r="A194" s="1031" t="s">
        <v>103</v>
      </c>
      <c r="B194" s="1032"/>
      <c r="C194" s="1032"/>
      <c r="D194" s="1032"/>
      <c r="E194" s="1032"/>
      <c r="F194" s="1032"/>
      <c r="G194" s="1032"/>
      <c r="H194" s="1032"/>
      <c r="I194" s="1032"/>
      <c r="J194" s="1032"/>
      <c r="K194" s="1033"/>
      <c r="L194" s="261">
        <f>IF(SUM(L164:L193)&gt;1,1,SUM(L164:L193))</f>
        <v>0.75600000000000001</v>
      </c>
    </row>
    <row r="195" spans="1:13" ht="12" customHeight="1">
      <c r="A195" s="223"/>
      <c r="B195" s="219"/>
      <c r="C195" s="219"/>
      <c r="D195" s="219"/>
      <c r="E195" s="220"/>
      <c r="F195" s="220"/>
      <c r="G195" s="221"/>
      <c r="H195" s="221"/>
      <c r="I195" s="221"/>
      <c r="J195" s="221"/>
      <c r="K195" s="221"/>
      <c r="L195" s="220"/>
      <c r="M195" s="222"/>
    </row>
    <row r="196" spans="1:13" ht="12" customHeight="1">
      <c r="A196" s="223"/>
      <c r="B196" s="219"/>
      <c r="C196" s="219"/>
      <c r="D196" s="219"/>
      <c r="E196" s="220"/>
      <c r="F196" s="220"/>
      <c r="G196" s="221"/>
      <c r="H196" s="221"/>
      <c r="I196" s="221"/>
      <c r="J196" s="221"/>
      <c r="K196" s="221"/>
      <c r="L196" s="220"/>
      <c r="M196" s="222"/>
    </row>
    <row r="197" spans="1:13" s="266" customFormat="1" ht="12" customHeight="1">
      <c r="B197" s="267"/>
      <c r="C197" s="267"/>
      <c r="D197" s="267"/>
      <c r="E197" s="268"/>
      <c r="F197" s="268"/>
      <c r="G197" s="269"/>
      <c r="H197" s="269"/>
      <c r="I197" s="269"/>
      <c r="J197" s="269"/>
      <c r="K197" s="269"/>
      <c r="L197" s="268"/>
      <c r="M197" s="270"/>
    </row>
    <row r="198" spans="1:13" ht="12" customHeight="1">
      <c r="A198" s="223"/>
      <c r="B198" s="219"/>
      <c r="C198" s="219"/>
      <c r="D198" s="219"/>
      <c r="E198" s="220"/>
      <c r="F198" s="220"/>
      <c r="G198" s="221"/>
      <c r="H198" s="221"/>
      <c r="I198" s="221"/>
      <c r="J198" s="221"/>
      <c r="K198" s="221"/>
      <c r="L198" s="220"/>
      <c r="M198" s="222"/>
    </row>
    <row r="199" spans="1:13" ht="27" customHeight="1">
      <c r="A199" s="1001">
        <f>A9</f>
        <v>0</v>
      </c>
      <c r="B199" s="1002"/>
      <c r="C199" s="1003"/>
      <c r="D199" s="232">
        <f>D9</f>
        <v>0</v>
      </c>
      <c r="E199" s="233"/>
      <c r="F199" s="233"/>
      <c r="G199" s="234"/>
      <c r="H199" s="234"/>
      <c r="I199" s="234"/>
      <c r="J199" s="234"/>
      <c r="K199" s="234"/>
      <c r="L199" s="235"/>
      <c r="M199" s="235"/>
    </row>
    <row r="200" spans="1:13" ht="21.75" customHeight="1">
      <c r="A200" s="998" t="s">
        <v>318</v>
      </c>
      <c r="B200" s="999"/>
      <c r="C200" s="999"/>
      <c r="D200" s="999"/>
      <c r="E200" s="999"/>
      <c r="F200" s="1000"/>
      <c r="G200" s="237" t="s">
        <v>319</v>
      </c>
      <c r="H200" s="238">
        <f>'자기평가서(2단계-종합기술제안서 정량평가)'!K4</f>
        <v>45972</v>
      </c>
      <c r="J200" s="221"/>
      <c r="K200" s="234"/>
      <c r="L200" s="235"/>
      <c r="M200" s="235"/>
    </row>
    <row r="201" spans="1:13" ht="12" customHeight="1">
      <c r="A201" s="239" t="s">
        <v>84</v>
      </c>
      <c r="B201" s="239" t="s">
        <v>320</v>
      </c>
      <c r="C201" s="239" t="s">
        <v>86</v>
      </c>
      <c r="D201" s="239" t="s">
        <v>321</v>
      </c>
      <c r="E201" s="239" t="s">
        <v>322</v>
      </c>
      <c r="F201" s="240" t="s">
        <v>89</v>
      </c>
      <c r="G201" s="239" t="s">
        <v>90</v>
      </c>
      <c r="H201" s="239" t="s">
        <v>323</v>
      </c>
      <c r="J201" s="221"/>
      <c r="K201" s="241"/>
      <c r="L201" s="242"/>
      <c r="M201" s="242"/>
    </row>
    <row r="202" spans="1:13" ht="12" customHeight="1">
      <c r="A202" s="1038" t="s">
        <v>324</v>
      </c>
      <c r="B202" s="243">
        <v>1</v>
      </c>
      <c r="C202" s="244" t="s">
        <v>461</v>
      </c>
      <c r="D202" s="245">
        <v>39228</v>
      </c>
      <c r="E202" s="245">
        <v>44114</v>
      </c>
      <c r="F202" s="246">
        <v>1</v>
      </c>
      <c r="G202" s="247">
        <f t="shared" ref="G202:G211" si="14">IF(C202="","",IF(E202&gt;=$H$13,1,0))</f>
        <v>0</v>
      </c>
      <c r="H202" s="248">
        <f>IF(C202="","",2*G202/F202)</f>
        <v>0</v>
      </c>
      <c r="J202" s="221"/>
      <c r="K202" s="234"/>
      <c r="L202" s="249"/>
      <c r="M202" s="249"/>
    </row>
    <row r="203" spans="1:13" ht="12" customHeight="1">
      <c r="A203" s="1038"/>
      <c r="B203" s="243">
        <v>2</v>
      </c>
      <c r="C203" s="244" t="s">
        <v>461</v>
      </c>
      <c r="D203" s="245">
        <v>40718</v>
      </c>
      <c r="E203" s="245">
        <v>44114</v>
      </c>
      <c r="F203" s="246">
        <v>1</v>
      </c>
      <c r="G203" s="247">
        <f t="shared" si="14"/>
        <v>0</v>
      </c>
      <c r="H203" s="248">
        <f t="shared" ref="H203:H211" si="15">IF(C203="","",2*G203/F203)</f>
        <v>0</v>
      </c>
      <c r="J203" s="221"/>
      <c r="K203" s="234"/>
      <c r="L203" s="249"/>
      <c r="M203" s="249"/>
    </row>
    <row r="204" spans="1:13" ht="12" customHeight="1">
      <c r="A204" s="1038"/>
      <c r="B204" s="243">
        <v>3</v>
      </c>
      <c r="C204" s="244" t="s">
        <v>461</v>
      </c>
      <c r="D204" s="245">
        <v>38898</v>
      </c>
      <c r="E204" s="245">
        <v>44114</v>
      </c>
      <c r="F204" s="246">
        <v>1</v>
      </c>
      <c r="G204" s="247">
        <f t="shared" si="14"/>
        <v>0</v>
      </c>
      <c r="H204" s="248">
        <f t="shared" si="15"/>
        <v>0</v>
      </c>
      <c r="J204" s="221"/>
      <c r="K204" s="234"/>
      <c r="L204" s="220"/>
      <c r="M204" s="222"/>
    </row>
    <row r="205" spans="1:13" ht="12" customHeight="1">
      <c r="A205" s="1038"/>
      <c r="B205" s="243">
        <v>4</v>
      </c>
      <c r="C205" s="244" t="s">
        <v>461</v>
      </c>
      <c r="D205" s="245">
        <v>38898</v>
      </c>
      <c r="E205" s="245">
        <v>44114</v>
      </c>
      <c r="F205" s="246">
        <v>1</v>
      </c>
      <c r="G205" s="247">
        <f t="shared" si="14"/>
        <v>0</v>
      </c>
      <c r="H205" s="248">
        <f t="shared" si="15"/>
        <v>0</v>
      </c>
      <c r="J205" s="221"/>
      <c r="K205" s="234"/>
      <c r="L205" s="220"/>
      <c r="M205" s="222"/>
    </row>
    <row r="206" spans="1:13" ht="12" customHeight="1">
      <c r="A206" s="1038"/>
      <c r="B206" s="243">
        <v>5</v>
      </c>
      <c r="C206" s="244" t="s">
        <v>461</v>
      </c>
      <c r="D206" s="245">
        <v>38898</v>
      </c>
      <c r="E206" s="245">
        <v>44114</v>
      </c>
      <c r="F206" s="246">
        <v>4</v>
      </c>
      <c r="G206" s="247">
        <f t="shared" si="14"/>
        <v>0</v>
      </c>
      <c r="H206" s="248">
        <f t="shared" si="15"/>
        <v>0</v>
      </c>
      <c r="J206" s="221"/>
      <c r="K206" s="234"/>
      <c r="L206" s="249"/>
      <c r="M206" s="249"/>
    </row>
    <row r="207" spans="1:13" ht="12" customHeight="1">
      <c r="A207" s="1038"/>
      <c r="B207" s="243">
        <v>6</v>
      </c>
      <c r="C207" s="244" t="s">
        <v>461</v>
      </c>
      <c r="D207" s="245">
        <v>38898</v>
      </c>
      <c r="E207" s="245">
        <v>44114</v>
      </c>
      <c r="F207" s="246">
        <v>1</v>
      </c>
      <c r="G207" s="247">
        <f t="shared" si="14"/>
        <v>0</v>
      </c>
      <c r="H207" s="248">
        <f t="shared" si="15"/>
        <v>0</v>
      </c>
      <c r="J207" s="221"/>
      <c r="K207" s="234"/>
      <c r="L207" s="249"/>
      <c r="M207" s="249"/>
    </row>
    <row r="208" spans="1:13" ht="12" customHeight="1">
      <c r="A208" s="1038"/>
      <c r="B208" s="243">
        <v>7</v>
      </c>
      <c r="C208" s="244" t="s">
        <v>461</v>
      </c>
      <c r="D208" s="245">
        <v>38898</v>
      </c>
      <c r="E208" s="245">
        <v>44114</v>
      </c>
      <c r="F208" s="246">
        <v>1</v>
      </c>
      <c r="G208" s="247">
        <f t="shared" si="14"/>
        <v>0</v>
      </c>
      <c r="H208" s="248">
        <f t="shared" si="15"/>
        <v>0</v>
      </c>
      <c r="J208" s="221"/>
      <c r="K208" s="234"/>
      <c r="L208" s="249"/>
      <c r="M208" s="249"/>
    </row>
    <row r="209" spans="1:13" ht="12" customHeight="1">
      <c r="A209" s="1038"/>
      <c r="B209" s="243">
        <v>8</v>
      </c>
      <c r="C209" s="244" t="s">
        <v>461</v>
      </c>
      <c r="D209" s="245">
        <v>38387</v>
      </c>
      <c r="E209" s="245">
        <v>44114</v>
      </c>
      <c r="F209" s="246">
        <v>2</v>
      </c>
      <c r="G209" s="247">
        <f t="shared" si="14"/>
        <v>0</v>
      </c>
      <c r="H209" s="248">
        <f t="shared" si="15"/>
        <v>0</v>
      </c>
      <c r="J209" s="221"/>
      <c r="K209" s="234"/>
      <c r="L209" s="249"/>
      <c r="M209" s="249"/>
    </row>
    <row r="210" spans="1:13" ht="12" customHeight="1">
      <c r="A210" s="1038"/>
      <c r="B210" s="243">
        <v>9</v>
      </c>
      <c r="C210" s="244"/>
      <c r="D210" s="245"/>
      <c r="E210" s="245"/>
      <c r="F210" s="246"/>
      <c r="G210" s="247" t="str">
        <f t="shared" si="14"/>
        <v/>
      </c>
      <c r="H210" s="248" t="str">
        <f t="shared" si="15"/>
        <v/>
      </c>
      <c r="J210" s="221"/>
      <c r="K210" s="234"/>
      <c r="L210" s="249"/>
      <c r="M210" s="249"/>
    </row>
    <row r="211" spans="1:13" ht="12" customHeight="1">
      <c r="A211" s="1038"/>
      <c r="B211" s="243">
        <v>10</v>
      </c>
      <c r="C211" s="244"/>
      <c r="D211" s="245"/>
      <c r="E211" s="245"/>
      <c r="F211" s="246"/>
      <c r="G211" s="247" t="str">
        <f t="shared" si="14"/>
        <v/>
      </c>
      <c r="H211" s="248" t="str">
        <f t="shared" si="15"/>
        <v/>
      </c>
      <c r="J211" s="221"/>
      <c r="K211" s="234"/>
      <c r="L211" s="220"/>
      <c r="M211" s="222"/>
    </row>
    <row r="212" spans="1:13" ht="12" customHeight="1">
      <c r="A212" s="1031" t="s">
        <v>325</v>
      </c>
      <c r="B212" s="1032"/>
      <c r="C212" s="1032"/>
      <c r="D212" s="1032"/>
      <c r="E212" s="1032"/>
      <c r="F212" s="1032"/>
      <c r="G212" s="1033"/>
      <c r="H212" s="250">
        <f>SUM(H202:H211)</f>
        <v>0</v>
      </c>
      <c r="J212" s="221"/>
      <c r="K212" s="251"/>
      <c r="L212" s="223"/>
      <c r="M212" s="223"/>
    </row>
    <row r="213" spans="1:13" ht="12" customHeight="1">
      <c r="A213" s="218"/>
      <c r="B213" s="219"/>
      <c r="C213" s="236"/>
      <c r="D213" s="219"/>
      <c r="E213" s="220"/>
      <c r="F213" s="220"/>
      <c r="G213" s="221"/>
      <c r="H213" s="221"/>
      <c r="I213" s="221"/>
      <c r="J213" s="221"/>
      <c r="K213" s="221"/>
      <c r="L213" s="220"/>
      <c r="M213" s="222"/>
    </row>
    <row r="214" spans="1:13" ht="24" customHeight="1">
      <c r="A214" s="998" t="s">
        <v>326</v>
      </c>
      <c r="B214" s="999"/>
      <c r="C214" s="999"/>
      <c r="D214" s="999"/>
      <c r="E214" s="999"/>
      <c r="F214" s="999"/>
      <c r="G214" s="999"/>
      <c r="H214" s="1000"/>
      <c r="I214" s="252" t="s">
        <v>319</v>
      </c>
      <c r="J214" s="238">
        <f>H200</f>
        <v>45972</v>
      </c>
      <c r="L214" s="223"/>
      <c r="M214" s="223"/>
    </row>
    <row r="215" spans="1:13" ht="12" customHeight="1">
      <c r="A215" s="239" t="s">
        <v>84</v>
      </c>
      <c r="B215" s="239" t="s">
        <v>320</v>
      </c>
      <c r="C215" s="239" t="s">
        <v>327</v>
      </c>
      <c r="D215" s="239" t="s">
        <v>97</v>
      </c>
      <c r="E215" s="239" t="s">
        <v>322</v>
      </c>
      <c r="F215" s="239" t="s">
        <v>328</v>
      </c>
      <c r="G215" s="240" t="s">
        <v>99</v>
      </c>
      <c r="H215" s="240" t="s">
        <v>329</v>
      </c>
      <c r="I215" s="239" t="s">
        <v>330</v>
      </c>
      <c r="J215" s="239" t="s">
        <v>77</v>
      </c>
      <c r="L215" s="223"/>
      <c r="M215" s="223"/>
    </row>
    <row r="216" spans="1:13" ht="12" customHeight="1">
      <c r="A216" s="1039" t="s">
        <v>324</v>
      </c>
      <c r="B216" s="1004">
        <v>111</v>
      </c>
      <c r="C216" s="244">
        <v>2014</v>
      </c>
      <c r="D216" s="245" t="s">
        <v>462</v>
      </c>
      <c r="E216" s="245">
        <v>44114</v>
      </c>
      <c r="F216" s="254">
        <v>1</v>
      </c>
      <c r="G216" s="248">
        <f t="shared" ref="G216:G221" si="16">1*F216</f>
        <v>1</v>
      </c>
      <c r="H216" s="255">
        <v>2</v>
      </c>
      <c r="I216" s="273">
        <f>IF(C222="","",IF(OR(G222&gt;=5,H222&gt;=20),1,IF(OR(G222&gt;=4,H222&gt;=18),0.9,IF(OR(G222&gt;=3,H222&gt;=16),0.8,IF(OR(G222&gt;=2,H222&gt;=14),0.7,IF(OR(G222&gt;=1,H222&gt;=12),0.6,0))))))</f>
        <v>0.9</v>
      </c>
      <c r="J216" s="1010">
        <f>IF(C222="","",0.5*I216)</f>
        <v>0.45</v>
      </c>
      <c r="K216" s="259"/>
      <c r="L216" s="220"/>
      <c r="M216" s="223"/>
    </row>
    <row r="217" spans="1:13" ht="12" customHeight="1">
      <c r="A217" s="1039"/>
      <c r="B217" s="1005"/>
      <c r="C217" s="244">
        <v>2014</v>
      </c>
      <c r="D217" s="245" t="s">
        <v>462</v>
      </c>
      <c r="E217" s="245">
        <v>44115</v>
      </c>
      <c r="F217" s="254">
        <v>0.6</v>
      </c>
      <c r="G217" s="248">
        <f t="shared" si="16"/>
        <v>0.6</v>
      </c>
      <c r="H217" s="255">
        <v>2</v>
      </c>
      <c r="I217" s="274"/>
      <c r="J217" s="1011"/>
      <c r="K217" s="259"/>
      <c r="L217" s="220"/>
      <c r="M217" s="223"/>
    </row>
    <row r="218" spans="1:13" ht="12" customHeight="1">
      <c r="A218" s="1039"/>
      <c r="B218" s="1005"/>
      <c r="C218" s="244">
        <v>2014</v>
      </c>
      <c r="D218" s="245" t="s">
        <v>462</v>
      </c>
      <c r="E218" s="245">
        <v>44116</v>
      </c>
      <c r="F218" s="254">
        <v>0.6</v>
      </c>
      <c r="G218" s="248">
        <f t="shared" si="16"/>
        <v>0.6</v>
      </c>
      <c r="H218" s="255">
        <v>2</v>
      </c>
      <c r="I218" s="274"/>
      <c r="J218" s="1011"/>
      <c r="K218" s="259"/>
      <c r="L218" s="220"/>
      <c r="M218" s="223"/>
    </row>
    <row r="219" spans="1:13" ht="12" customHeight="1">
      <c r="A219" s="1039"/>
      <c r="B219" s="1005"/>
      <c r="C219" s="244">
        <v>2014</v>
      </c>
      <c r="D219" s="245" t="s">
        <v>462</v>
      </c>
      <c r="E219" s="245">
        <v>44117</v>
      </c>
      <c r="F219" s="254">
        <v>0.6</v>
      </c>
      <c r="G219" s="248">
        <f t="shared" si="16"/>
        <v>0.6</v>
      </c>
      <c r="H219" s="255">
        <v>2</v>
      </c>
      <c r="I219" s="274"/>
      <c r="J219" s="1011"/>
      <c r="K219" s="259"/>
      <c r="L219" s="220"/>
      <c r="M219" s="223"/>
    </row>
    <row r="220" spans="1:13" ht="12" customHeight="1">
      <c r="A220" s="1039"/>
      <c r="B220" s="1005"/>
      <c r="C220" s="244">
        <v>2014</v>
      </c>
      <c r="D220" s="245" t="s">
        <v>462</v>
      </c>
      <c r="E220" s="245">
        <v>44118</v>
      </c>
      <c r="F220" s="254">
        <v>0.6</v>
      </c>
      <c r="G220" s="248">
        <f t="shared" si="16"/>
        <v>0.6</v>
      </c>
      <c r="H220" s="255">
        <v>2</v>
      </c>
      <c r="I220" s="274"/>
      <c r="J220" s="1011"/>
      <c r="K220" s="259"/>
      <c r="L220" s="220"/>
      <c r="M220" s="223"/>
    </row>
    <row r="221" spans="1:13" ht="12" customHeight="1">
      <c r="A221" s="1039"/>
      <c r="B221" s="1005"/>
      <c r="C221" s="244">
        <v>2014</v>
      </c>
      <c r="D221" s="245" t="s">
        <v>462</v>
      </c>
      <c r="E221" s="245">
        <v>44119</v>
      </c>
      <c r="F221" s="254">
        <v>0.6</v>
      </c>
      <c r="G221" s="248">
        <f t="shared" si="16"/>
        <v>0.6</v>
      </c>
      <c r="H221" s="255">
        <v>2</v>
      </c>
      <c r="I221" s="274"/>
      <c r="J221" s="1011"/>
      <c r="K221" s="223"/>
      <c r="L221" s="220"/>
      <c r="M221" s="223"/>
    </row>
    <row r="222" spans="1:13" ht="12" customHeight="1">
      <c r="A222" s="1039"/>
      <c r="B222" s="1006"/>
      <c r="C222" s="1013" t="s">
        <v>102</v>
      </c>
      <c r="D222" s="1014"/>
      <c r="E222" s="1014"/>
      <c r="F222" s="1015"/>
      <c r="G222" s="258">
        <f>SUM(G216:G221)</f>
        <v>4</v>
      </c>
      <c r="H222" s="258">
        <f>SUM(H216:H221)</f>
        <v>12</v>
      </c>
      <c r="I222" s="275"/>
      <c r="J222" s="1012"/>
      <c r="K222" s="259"/>
      <c r="L222" s="220"/>
      <c r="M222" s="223"/>
    </row>
    <row r="223" spans="1:13" ht="12" customHeight="1">
      <c r="A223" s="1038"/>
      <c r="B223" s="1004">
        <v>222</v>
      </c>
      <c r="C223" s="244">
        <v>2014</v>
      </c>
      <c r="D223" s="245" t="s">
        <v>462</v>
      </c>
      <c r="E223" s="245">
        <v>44114</v>
      </c>
      <c r="F223" s="254">
        <v>1</v>
      </c>
      <c r="G223" s="248">
        <f t="shared" ref="G223:G228" si="17">1*F223</f>
        <v>1</v>
      </c>
      <c r="H223" s="255">
        <v>2</v>
      </c>
      <c r="I223" s="273">
        <f>IF(C229="","",IF(OR(G229&gt;=5,H229&gt;=20),1,IF(OR(G229&gt;=4,H229&gt;=18),0.9,IF(OR(G229&gt;=3,H229&gt;=16),0.8,IF(OR(G229&gt;=2,H229&gt;=14),0.7,IF(OR(G229&gt;=1,H229&gt;=12),0.6,0))))))</f>
        <v>0.6</v>
      </c>
      <c r="J223" s="1010">
        <f>IF(C229="","",0.5*I223)</f>
        <v>0.3</v>
      </c>
      <c r="L223" s="220"/>
      <c r="M223" s="223"/>
    </row>
    <row r="224" spans="1:13" ht="12" customHeight="1">
      <c r="A224" s="1038"/>
      <c r="B224" s="1005"/>
      <c r="C224" s="244"/>
      <c r="D224" s="245"/>
      <c r="E224" s="245"/>
      <c r="F224" s="254"/>
      <c r="G224" s="248">
        <f t="shared" si="17"/>
        <v>0</v>
      </c>
      <c r="H224" s="255">
        <v>2</v>
      </c>
      <c r="I224" s="274"/>
      <c r="J224" s="1011"/>
      <c r="L224" s="259"/>
      <c r="M224" s="223"/>
    </row>
    <row r="225" spans="1:13" ht="12" customHeight="1">
      <c r="A225" s="1038"/>
      <c r="B225" s="1005"/>
      <c r="C225" s="244"/>
      <c r="D225" s="245"/>
      <c r="E225" s="245"/>
      <c r="F225" s="254"/>
      <c r="G225" s="248">
        <f t="shared" si="17"/>
        <v>0</v>
      </c>
      <c r="H225" s="255">
        <v>2</v>
      </c>
      <c r="I225" s="274"/>
      <c r="J225" s="1011"/>
      <c r="L225" s="259"/>
      <c r="M225" s="223"/>
    </row>
    <row r="226" spans="1:13" ht="12" customHeight="1">
      <c r="A226" s="1038"/>
      <c r="B226" s="1005"/>
      <c r="C226" s="244"/>
      <c r="D226" s="245"/>
      <c r="E226" s="245"/>
      <c r="F226" s="254"/>
      <c r="G226" s="248">
        <f t="shared" si="17"/>
        <v>0</v>
      </c>
      <c r="H226" s="255">
        <v>2</v>
      </c>
      <c r="I226" s="274"/>
      <c r="J226" s="1011"/>
      <c r="L226" s="259"/>
      <c r="M226" s="223"/>
    </row>
    <row r="227" spans="1:13" ht="12" customHeight="1">
      <c r="A227" s="1038"/>
      <c r="B227" s="1005"/>
      <c r="C227" s="244"/>
      <c r="D227" s="245"/>
      <c r="E227" s="245"/>
      <c r="F227" s="254"/>
      <c r="G227" s="248">
        <f t="shared" si="17"/>
        <v>0</v>
      </c>
      <c r="H227" s="255">
        <v>2</v>
      </c>
      <c r="I227" s="274"/>
      <c r="J227" s="1011"/>
      <c r="L227" s="259"/>
      <c r="M227" s="223"/>
    </row>
    <row r="228" spans="1:13" ht="12" customHeight="1">
      <c r="A228" s="1038"/>
      <c r="B228" s="1005"/>
      <c r="C228" s="244"/>
      <c r="D228" s="245"/>
      <c r="E228" s="245"/>
      <c r="F228" s="254"/>
      <c r="G228" s="248">
        <f t="shared" si="17"/>
        <v>0</v>
      </c>
      <c r="H228" s="255">
        <v>2</v>
      </c>
      <c r="I228" s="274"/>
      <c r="J228" s="1011"/>
      <c r="L228" s="259"/>
      <c r="M228" s="223"/>
    </row>
    <row r="229" spans="1:13" ht="12" customHeight="1">
      <c r="A229" s="1038"/>
      <c r="B229" s="1006"/>
      <c r="C229" s="1013" t="s">
        <v>102</v>
      </c>
      <c r="D229" s="1014"/>
      <c r="E229" s="1014"/>
      <c r="F229" s="1015"/>
      <c r="G229" s="258">
        <f>SUM(G223:G228)</f>
        <v>1</v>
      </c>
      <c r="H229" s="258">
        <f>SUM(H223:H228)</f>
        <v>12</v>
      </c>
      <c r="I229" s="275"/>
      <c r="J229" s="1012"/>
      <c r="L229" s="259"/>
      <c r="M229" s="223"/>
    </row>
    <row r="230" spans="1:13" ht="12" customHeight="1">
      <c r="A230" s="1038"/>
      <c r="B230" s="1004">
        <v>222</v>
      </c>
      <c r="C230" s="244">
        <v>2014</v>
      </c>
      <c r="D230" s="245" t="s">
        <v>462</v>
      </c>
      <c r="E230" s="245">
        <v>44114</v>
      </c>
      <c r="F230" s="254">
        <v>0.6</v>
      </c>
      <c r="G230" s="248">
        <f t="shared" ref="G230:G235" si="18">1*F230</f>
        <v>0.6</v>
      </c>
      <c r="H230" s="255">
        <v>2</v>
      </c>
      <c r="I230" s="273">
        <f>IF(C236="","",IF(OR(G236&gt;=5,H236&gt;=20),1,IF(OR(G236&gt;=4,H236&gt;=18),0.9,IF(OR(G236&gt;=3,H236&gt;=16),0.8,IF(OR(G236&gt;=2,H236&gt;=14),0.7,IF(OR(G236&gt;=1,H236&gt;=12),0.6,0))))))</f>
        <v>0.8</v>
      </c>
      <c r="J230" s="1010">
        <f>IF(C236="","",0.5*I230)</f>
        <v>0.4</v>
      </c>
      <c r="L230" s="259"/>
      <c r="M230" s="223"/>
    </row>
    <row r="231" spans="1:13" ht="12" customHeight="1">
      <c r="A231" s="1038"/>
      <c r="B231" s="1005"/>
      <c r="C231" s="244">
        <v>2014</v>
      </c>
      <c r="D231" s="245" t="s">
        <v>462</v>
      </c>
      <c r="E231" s="245">
        <v>44115</v>
      </c>
      <c r="F231" s="254">
        <v>0.6</v>
      </c>
      <c r="G231" s="248">
        <f t="shared" si="18"/>
        <v>0.6</v>
      </c>
      <c r="H231" s="255">
        <v>2</v>
      </c>
      <c r="I231" s="274"/>
      <c r="J231" s="1011"/>
      <c r="L231" s="259"/>
      <c r="M231" s="223"/>
    </row>
    <row r="232" spans="1:13" ht="12" customHeight="1">
      <c r="A232" s="1038"/>
      <c r="B232" s="1005"/>
      <c r="C232" s="244">
        <v>2014</v>
      </c>
      <c r="D232" s="245" t="s">
        <v>462</v>
      </c>
      <c r="E232" s="245">
        <v>44116</v>
      </c>
      <c r="F232" s="254">
        <v>0.6</v>
      </c>
      <c r="G232" s="248">
        <f t="shared" si="18"/>
        <v>0.6</v>
      </c>
      <c r="H232" s="255">
        <v>2</v>
      </c>
      <c r="I232" s="274"/>
      <c r="J232" s="1011"/>
      <c r="L232" s="259"/>
      <c r="M232" s="223"/>
    </row>
    <row r="233" spans="1:13" ht="12" customHeight="1">
      <c r="A233" s="1038"/>
      <c r="B233" s="1005"/>
      <c r="C233" s="244">
        <v>2014</v>
      </c>
      <c r="D233" s="245" t="s">
        <v>462</v>
      </c>
      <c r="E233" s="245">
        <v>44117</v>
      </c>
      <c r="F233" s="254">
        <v>0.6</v>
      </c>
      <c r="G233" s="248">
        <f t="shared" si="18"/>
        <v>0.6</v>
      </c>
      <c r="H233" s="255">
        <v>2</v>
      </c>
      <c r="I233" s="274"/>
      <c r="J233" s="1011"/>
      <c r="L233" s="259"/>
      <c r="M233" s="223"/>
    </row>
    <row r="234" spans="1:13" ht="12" customHeight="1">
      <c r="A234" s="1038"/>
      <c r="B234" s="1005"/>
      <c r="C234" s="244">
        <v>2014</v>
      </c>
      <c r="D234" s="245" t="s">
        <v>462</v>
      </c>
      <c r="E234" s="245">
        <v>44118</v>
      </c>
      <c r="F234" s="254">
        <v>0.6</v>
      </c>
      <c r="G234" s="248">
        <f t="shared" si="18"/>
        <v>0.6</v>
      </c>
      <c r="H234" s="255">
        <v>2</v>
      </c>
      <c r="I234" s="274"/>
      <c r="J234" s="1011"/>
      <c r="L234" s="259"/>
      <c r="M234" s="223"/>
    </row>
    <row r="235" spans="1:13" ht="12" customHeight="1">
      <c r="A235" s="1038"/>
      <c r="B235" s="1005"/>
      <c r="C235" s="244">
        <v>2014</v>
      </c>
      <c r="D235" s="245" t="s">
        <v>462</v>
      </c>
      <c r="E235" s="245">
        <v>44119</v>
      </c>
      <c r="F235" s="254">
        <v>0.6</v>
      </c>
      <c r="G235" s="248">
        <f t="shared" si="18"/>
        <v>0.6</v>
      </c>
      <c r="H235" s="255">
        <v>2</v>
      </c>
      <c r="I235" s="274"/>
      <c r="J235" s="1011"/>
      <c r="L235" s="259"/>
      <c r="M235" s="223"/>
    </row>
    <row r="236" spans="1:13" ht="12" customHeight="1">
      <c r="A236" s="1038"/>
      <c r="B236" s="1006"/>
      <c r="C236" s="1013" t="s">
        <v>102</v>
      </c>
      <c r="D236" s="1014"/>
      <c r="E236" s="1014"/>
      <c r="F236" s="1015"/>
      <c r="G236" s="258">
        <f>SUM(G230:G235)</f>
        <v>3.6</v>
      </c>
      <c r="H236" s="258">
        <f>SUM(H230:H235)</f>
        <v>12</v>
      </c>
      <c r="I236" s="275"/>
      <c r="J236" s="1012"/>
      <c r="L236" s="259"/>
      <c r="M236" s="223"/>
    </row>
    <row r="237" spans="1:13" ht="12" customHeight="1">
      <c r="A237" s="1038"/>
      <c r="B237" s="1004">
        <v>222</v>
      </c>
      <c r="C237" s="244">
        <v>2014</v>
      </c>
      <c r="D237" s="245" t="s">
        <v>462</v>
      </c>
      <c r="E237" s="245">
        <v>44114</v>
      </c>
      <c r="F237" s="254">
        <v>0.6</v>
      </c>
      <c r="G237" s="248">
        <f t="shared" ref="G237:G242" si="19">1*F237</f>
        <v>0.6</v>
      </c>
      <c r="H237" s="255">
        <v>2</v>
      </c>
      <c r="I237" s="273">
        <f>IF(C243="","",IF(OR(G243&gt;=5,H243&gt;=20),1,IF(OR(G243&gt;=4,H243&gt;=18),0.9,IF(OR(G243&gt;=3,H243&gt;=16),0.8,IF(OR(G243&gt;=2,H243&gt;=14),0.7,IF(OR(G243&gt;=1,H243&gt;=12),0.6,0))))))</f>
        <v>0.8</v>
      </c>
      <c r="J237" s="1010">
        <f>IF(C243="","",0.5*I237)</f>
        <v>0.4</v>
      </c>
      <c r="L237" s="259"/>
      <c r="M237" s="223"/>
    </row>
    <row r="238" spans="1:13" ht="12" customHeight="1">
      <c r="A238" s="1038"/>
      <c r="B238" s="1005"/>
      <c r="C238" s="244">
        <v>2014</v>
      </c>
      <c r="D238" s="245" t="s">
        <v>462</v>
      </c>
      <c r="E238" s="245">
        <v>44115</v>
      </c>
      <c r="F238" s="254">
        <v>0.6</v>
      </c>
      <c r="G238" s="248">
        <f t="shared" si="19"/>
        <v>0.6</v>
      </c>
      <c r="H238" s="255">
        <v>2</v>
      </c>
      <c r="I238" s="274"/>
      <c r="J238" s="1011"/>
      <c r="L238" s="259"/>
      <c r="M238" s="223"/>
    </row>
    <row r="239" spans="1:13" ht="12" customHeight="1">
      <c r="A239" s="1038"/>
      <c r="B239" s="1005"/>
      <c r="C239" s="244">
        <v>2014</v>
      </c>
      <c r="D239" s="245" t="s">
        <v>462</v>
      </c>
      <c r="E239" s="245">
        <v>44116</v>
      </c>
      <c r="F239" s="254">
        <v>0.6</v>
      </c>
      <c r="G239" s="248">
        <f t="shared" si="19"/>
        <v>0.6</v>
      </c>
      <c r="H239" s="255">
        <v>2</v>
      </c>
      <c r="I239" s="274"/>
      <c r="J239" s="1011"/>
      <c r="L239" s="260"/>
      <c r="M239" s="223"/>
    </row>
    <row r="240" spans="1:13" ht="12" customHeight="1">
      <c r="A240" s="1038"/>
      <c r="B240" s="1005"/>
      <c r="C240" s="244">
        <v>2014</v>
      </c>
      <c r="D240" s="245" t="s">
        <v>462</v>
      </c>
      <c r="E240" s="245">
        <v>44117</v>
      </c>
      <c r="F240" s="254">
        <v>0.6</v>
      </c>
      <c r="G240" s="248">
        <f t="shared" si="19"/>
        <v>0.6</v>
      </c>
      <c r="H240" s="255">
        <v>2</v>
      </c>
      <c r="I240" s="274"/>
      <c r="J240" s="1011"/>
      <c r="L240" s="220"/>
      <c r="M240" s="223"/>
    </row>
    <row r="241" spans="1:13" ht="12" customHeight="1">
      <c r="A241" s="1038"/>
      <c r="B241" s="1005"/>
      <c r="C241" s="244">
        <v>2014</v>
      </c>
      <c r="D241" s="245" t="s">
        <v>462</v>
      </c>
      <c r="E241" s="245">
        <v>44118</v>
      </c>
      <c r="F241" s="254">
        <v>0.6</v>
      </c>
      <c r="G241" s="248">
        <f t="shared" si="19"/>
        <v>0.6</v>
      </c>
      <c r="H241" s="255">
        <v>2</v>
      </c>
      <c r="I241" s="274"/>
      <c r="J241" s="1011"/>
      <c r="L241" s="220"/>
      <c r="M241" s="223"/>
    </row>
    <row r="242" spans="1:13" ht="12" customHeight="1">
      <c r="A242" s="1038"/>
      <c r="B242" s="1005"/>
      <c r="C242" s="244">
        <v>2014</v>
      </c>
      <c r="D242" s="245" t="s">
        <v>462</v>
      </c>
      <c r="E242" s="245">
        <v>44119</v>
      </c>
      <c r="F242" s="254">
        <v>0.6</v>
      </c>
      <c r="G242" s="248">
        <f t="shared" si="19"/>
        <v>0.6</v>
      </c>
      <c r="H242" s="255">
        <v>2</v>
      </c>
      <c r="I242" s="274"/>
      <c r="J242" s="1011"/>
      <c r="L242" s="220"/>
      <c r="M242" s="223"/>
    </row>
    <row r="243" spans="1:13" ht="12" customHeight="1">
      <c r="A243" s="1038"/>
      <c r="B243" s="1006"/>
      <c r="C243" s="1013" t="s">
        <v>102</v>
      </c>
      <c r="D243" s="1014"/>
      <c r="E243" s="1014"/>
      <c r="F243" s="1015"/>
      <c r="G243" s="258">
        <f>SUM(G237:G242)</f>
        <v>3.6</v>
      </c>
      <c r="H243" s="258">
        <f>SUM(H237:H242)</f>
        <v>12</v>
      </c>
      <c r="I243" s="275"/>
      <c r="J243" s="1012"/>
      <c r="L243" s="223"/>
      <c r="M243" s="223"/>
    </row>
    <row r="244" spans="1:13" ht="12" customHeight="1">
      <c r="A244" s="1038"/>
      <c r="B244" s="1004">
        <v>222</v>
      </c>
      <c r="C244" s="244">
        <v>2014</v>
      </c>
      <c r="D244" s="245" t="s">
        <v>462</v>
      </c>
      <c r="E244" s="245">
        <v>44114</v>
      </c>
      <c r="F244" s="254">
        <v>0.6</v>
      </c>
      <c r="G244" s="248">
        <f t="shared" ref="G244:G249" si="20">1*F244</f>
        <v>0.6</v>
      </c>
      <c r="H244" s="255">
        <v>2</v>
      </c>
      <c r="I244" s="273">
        <f>IF(C250="","",IF(OR(G250&gt;=5,H250&gt;=20),1,IF(OR(G250&gt;=4,H250&gt;=18),0.9,IF(OR(G250&gt;=3,H250&gt;=16),0.8,IF(OR(G250&gt;=2,H250&gt;=14),0.7,IF(OR(G250&gt;=1,H250&gt;=12),0.6,0))))))</f>
        <v>0.8</v>
      </c>
      <c r="J244" s="1010">
        <f>IF(C250="","",0.5*I244)</f>
        <v>0.4</v>
      </c>
      <c r="L244" s="223"/>
      <c r="M244" s="223"/>
    </row>
    <row r="245" spans="1:13" ht="12" customHeight="1">
      <c r="A245" s="1038"/>
      <c r="B245" s="1005"/>
      <c r="C245" s="244">
        <v>2014</v>
      </c>
      <c r="D245" s="245" t="s">
        <v>462</v>
      </c>
      <c r="E245" s="245">
        <v>44115</v>
      </c>
      <c r="F245" s="254">
        <v>0.6</v>
      </c>
      <c r="G245" s="248">
        <f t="shared" si="20"/>
        <v>0.6</v>
      </c>
      <c r="H245" s="255">
        <v>2</v>
      </c>
      <c r="I245" s="274"/>
      <c r="J245" s="1011"/>
      <c r="L245" s="223"/>
      <c r="M245" s="223"/>
    </row>
    <row r="246" spans="1:13" ht="12" customHeight="1">
      <c r="A246" s="1038"/>
      <c r="B246" s="1005"/>
      <c r="C246" s="244">
        <v>2014</v>
      </c>
      <c r="D246" s="245" t="s">
        <v>462</v>
      </c>
      <c r="E246" s="245">
        <v>44116</v>
      </c>
      <c r="F246" s="254">
        <v>0.6</v>
      </c>
      <c r="G246" s="248">
        <f t="shared" si="20"/>
        <v>0.6</v>
      </c>
      <c r="H246" s="255">
        <v>2</v>
      </c>
      <c r="I246" s="274"/>
      <c r="J246" s="1011"/>
      <c r="L246" s="223"/>
      <c r="M246" s="223"/>
    </row>
    <row r="247" spans="1:13" ht="12" customHeight="1">
      <c r="A247" s="1038"/>
      <c r="B247" s="1005"/>
      <c r="C247" s="244">
        <v>2014</v>
      </c>
      <c r="D247" s="245" t="s">
        <v>462</v>
      </c>
      <c r="E247" s="245">
        <v>44117</v>
      </c>
      <c r="F247" s="254">
        <v>0.6</v>
      </c>
      <c r="G247" s="248">
        <f t="shared" si="20"/>
        <v>0.6</v>
      </c>
      <c r="H247" s="255">
        <v>2</v>
      </c>
      <c r="I247" s="274"/>
      <c r="J247" s="1011"/>
      <c r="L247" s="223"/>
      <c r="M247" s="223"/>
    </row>
    <row r="248" spans="1:13" ht="12" customHeight="1">
      <c r="A248" s="1038"/>
      <c r="B248" s="1005"/>
      <c r="C248" s="244">
        <v>2014</v>
      </c>
      <c r="D248" s="245" t="s">
        <v>462</v>
      </c>
      <c r="E248" s="245">
        <v>44118</v>
      </c>
      <c r="F248" s="254">
        <v>0.6</v>
      </c>
      <c r="G248" s="248">
        <f t="shared" si="20"/>
        <v>0.6</v>
      </c>
      <c r="H248" s="255">
        <v>2</v>
      </c>
      <c r="I248" s="274"/>
      <c r="J248" s="1011"/>
      <c r="L248" s="223"/>
      <c r="M248" s="223"/>
    </row>
    <row r="249" spans="1:13" ht="12" customHeight="1">
      <c r="A249" s="1038"/>
      <c r="B249" s="1005"/>
      <c r="C249" s="244">
        <v>2014</v>
      </c>
      <c r="D249" s="245" t="s">
        <v>462</v>
      </c>
      <c r="E249" s="245">
        <v>44119</v>
      </c>
      <c r="F249" s="254">
        <v>0.6</v>
      </c>
      <c r="G249" s="248">
        <f t="shared" si="20"/>
        <v>0.6</v>
      </c>
      <c r="H249" s="255">
        <v>2</v>
      </c>
      <c r="I249" s="274"/>
      <c r="J249" s="1011"/>
      <c r="L249" s="223"/>
      <c r="M249" s="223"/>
    </row>
    <row r="250" spans="1:13" ht="12" customHeight="1">
      <c r="A250" s="1038"/>
      <c r="B250" s="1006"/>
      <c r="C250" s="1013" t="s">
        <v>102</v>
      </c>
      <c r="D250" s="1014"/>
      <c r="E250" s="1014"/>
      <c r="F250" s="1015"/>
      <c r="G250" s="258">
        <f>SUM(G244:G249)</f>
        <v>3.6</v>
      </c>
      <c r="H250" s="258">
        <f>SUM(H244:H249)</f>
        <v>12</v>
      </c>
      <c r="I250" s="275"/>
      <c r="J250" s="1012"/>
      <c r="L250" s="223"/>
      <c r="M250" s="223"/>
    </row>
    <row r="251" spans="1:13" ht="12" customHeight="1">
      <c r="A251" s="1038"/>
      <c r="B251" s="1004">
        <v>222</v>
      </c>
      <c r="C251" s="244">
        <v>2014</v>
      </c>
      <c r="D251" s="245" t="s">
        <v>462</v>
      </c>
      <c r="E251" s="245">
        <v>44114</v>
      </c>
      <c r="F251" s="254">
        <v>0.6</v>
      </c>
      <c r="G251" s="248">
        <f t="shared" ref="G251:G256" si="21">1*F251</f>
        <v>0.6</v>
      </c>
      <c r="H251" s="255">
        <v>2</v>
      </c>
      <c r="I251" s="273">
        <f>IF(C257="","",IF(OR(G257&gt;=5,H257&gt;=20),1,IF(OR(G257&gt;=4,H257&gt;=18),0.9,IF(OR(G257&gt;=3,H257&gt;=16),0.8,IF(OR(G257&gt;=2,H257&gt;=14),0.7,IF(OR(G257&gt;=1,H257&gt;=12),0.6,0))))))</f>
        <v>0.8</v>
      </c>
      <c r="J251" s="1010">
        <f>IF(C257="","",0.5*I251)</f>
        <v>0.4</v>
      </c>
      <c r="L251" s="223"/>
      <c r="M251" s="223"/>
    </row>
    <row r="252" spans="1:13" ht="12" customHeight="1">
      <c r="A252" s="1038"/>
      <c r="B252" s="1005"/>
      <c r="C252" s="244">
        <v>2014</v>
      </c>
      <c r="D252" s="245" t="s">
        <v>462</v>
      </c>
      <c r="E252" s="245">
        <v>44115</v>
      </c>
      <c r="F252" s="254">
        <v>0.6</v>
      </c>
      <c r="G252" s="248">
        <f t="shared" si="21"/>
        <v>0.6</v>
      </c>
      <c r="H252" s="255">
        <v>2</v>
      </c>
      <c r="I252" s="274"/>
      <c r="J252" s="1011"/>
      <c r="L252" s="223"/>
      <c r="M252" s="223"/>
    </row>
    <row r="253" spans="1:13" ht="12" customHeight="1">
      <c r="A253" s="1038"/>
      <c r="B253" s="1005"/>
      <c r="C253" s="244">
        <v>2014</v>
      </c>
      <c r="D253" s="245" t="s">
        <v>462</v>
      </c>
      <c r="E253" s="245">
        <v>44116</v>
      </c>
      <c r="F253" s="254">
        <v>0.6</v>
      </c>
      <c r="G253" s="248">
        <f t="shared" si="21"/>
        <v>0.6</v>
      </c>
      <c r="H253" s="255">
        <v>2</v>
      </c>
      <c r="I253" s="274"/>
      <c r="J253" s="1011"/>
      <c r="L253" s="223"/>
      <c r="M253" s="223"/>
    </row>
    <row r="254" spans="1:13" ht="12" customHeight="1">
      <c r="A254" s="1038"/>
      <c r="B254" s="1005"/>
      <c r="C254" s="244">
        <v>2014</v>
      </c>
      <c r="D254" s="245" t="s">
        <v>462</v>
      </c>
      <c r="E254" s="245">
        <v>44117</v>
      </c>
      <c r="F254" s="254">
        <v>0.6</v>
      </c>
      <c r="G254" s="248">
        <f t="shared" si="21"/>
        <v>0.6</v>
      </c>
      <c r="H254" s="255">
        <v>2</v>
      </c>
      <c r="I254" s="274"/>
      <c r="J254" s="1011"/>
      <c r="L254" s="223"/>
      <c r="M254" s="223"/>
    </row>
    <row r="255" spans="1:13" ht="12" customHeight="1">
      <c r="A255" s="1038"/>
      <c r="B255" s="1005"/>
      <c r="C255" s="244">
        <v>2014</v>
      </c>
      <c r="D255" s="245" t="s">
        <v>462</v>
      </c>
      <c r="E255" s="245">
        <v>44118</v>
      </c>
      <c r="F255" s="254">
        <v>0.6</v>
      </c>
      <c r="G255" s="248">
        <f t="shared" si="21"/>
        <v>0.6</v>
      </c>
      <c r="H255" s="255">
        <v>2</v>
      </c>
      <c r="I255" s="274"/>
      <c r="J255" s="1011"/>
      <c r="L255" s="223"/>
      <c r="M255" s="223"/>
    </row>
    <row r="256" spans="1:13" ht="12" customHeight="1">
      <c r="A256" s="1038"/>
      <c r="B256" s="1005"/>
      <c r="C256" s="244">
        <v>2014</v>
      </c>
      <c r="D256" s="245" t="s">
        <v>462</v>
      </c>
      <c r="E256" s="245">
        <v>44119</v>
      </c>
      <c r="F256" s="254">
        <v>0.6</v>
      </c>
      <c r="G256" s="248">
        <f t="shared" si="21"/>
        <v>0.6</v>
      </c>
      <c r="H256" s="255">
        <v>2</v>
      </c>
      <c r="I256" s="274"/>
      <c r="J256" s="1011"/>
      <c r="L256" s="223"/>
      <c r="M256" s="223"/>
    </row>
    <row r="257" spans="1:20" ht="12" customHeight="1">
      <c r="A257" s="1038"/>
      <c r="B257" s="1006"/>
      <c r="C257" s="1013" t="s">
        <v>102</v>
      </c>
      <c r="D257" s="1014"/>
      <c r="E257" s="1014"/>
      <c r="F257" s="1015"/>
      <c r="G257" s="258">
        <f>SUM(G251:G256)</f>
        <v>3.6</v>
      </c>
      <c r="H257" s="258">
        <f>SUM(H251:H256)</f>
        <v>12</v>
      </c>
      <c r="I257" s="275"/>
      <c r="J257" s="1012"/>
      <c r="L257" s="223"/>
      <c r="M257" s="223"/>
    </row>
    <row r="258" spans="1:20" ht="12" customHeight="1">
      <c r="A258" s="1038"/>
      <c r="B258" s="1004">
        <v>222</v>
      </c>
      <c r="C258" s="244">
        <v>2014</v>
      </c>
      <c r="D258" s="245" t="s">
        <v>462</v>
      </c>
      <c r="E258" s="245">
        <v>44114</v>
      </c>
      <c r="F258" s="254">
        <v>0.6</v>
      </c>
      <c r="G258" s="248">
        <f t="shared" ref="G258:G263" si="22">1*F258</f>
        <v>0.6</v>
      </c>
      <c r="H258" s="255">
        <v>2</v>
      </c>
      <c r="I258" s="273">
        <f>IF(C264="","",IF(OR(G264&gt;=5,H264&gt;=20),1,IF(OR(G264&gt;=4,H264&gt;=18),0.9,IF(OR(G264&gt;=3,H264&gt;=16),0.8,IF(OR(G264&gt;=2,H264&gt;=14),0.7,IF(OR(G264&gt;=1,H264&gt;=12),0.6,0))))))</f>
        <v>0.8</v>
      </c>
      <c r="J258" s="1010">
        <f>IF(C264="","",0.5*I258)</f>
        <v>0.4</v>
      </c>
      <c r="L258" s="223"/>
      <c r="M258" s="223"/>
    </row>
    <row r="259" spans="1:20" ht="12" customHeight="1">
      <c r="A259" s="1038"/>
      <c r="B259" s="1005"/>
      <c r="C259" s="244">
        <v>2014</v>
      </c>
      <c r="D259" s="245" t="s">
        <v>462</v>
      </c>
      <c r="E259" s="245">
        <v>44115</v>
      </c>
      <c r="F259" s="254">
        <v>0.6</v>
      </c>
      <c r="G259" s="248">
        <f t="shared" si="22"/>
        <v>0.6</v>
      </c>
      <c r="H259" s="255">
        <v>2</v>
      </c>
      <c r="I259" s="274"/>
      <c r="J259" s="1011"/>
      <c r="L259" s="223"/>
      <c r="M259" s="223"/>
    </row>
    <row r="260" spans="1:20" ht="12" customHeight="1">
      <c r="A260" s="1038"/>
      <c r="B260" s="1005"/>
      <c r="C260" s="244">
        <v>2014</v>
      </c>
      <c r="D260" s="245" t="s">
        <v>462</v>
      </c>
      <c r="E260" s="245">
        <v>44116</v>
      </c>
      <c r="F260" s="254">
        <v>0.6</v>
      </c>
      <c r="G260" s="248">
        <f t="shared" si="22"/>
        <v>0.6</v>
      </c>
      <c r="H260" s="255">
        <v>2</v>
      </c>
      <c r="I260" s="274"/>
      <c r="J260" s="1011"/>
      <c r="L260" s="223"/>
      <c r="M260" s="223"/>
    </row>
    <row r="261" spans="1:20" ht="12" customHeight="1">
      <c r="A261" s="1038"/>
      <c r="B261" s="1005"/>
      <c r="C261" s="244">
        <v>2014</v>
      </c>
      <c r="D261" s="245" t="s">
        <v>462</v>
      </c>
      <c r="E261" s="245">
        <v>44117</v>
      </c>
      <c r="F261" s="254">
        <v>0.6</v>
      </c>
      <c r="G261" s="248">
        <f t="shared" si="22"/>
        <v>0.6</v>
      </c>
      <c r="H261" s="255">
        <v>2</v>
      </c>
      <c r="I261" s="274"/>
      <c r="J261" s="1011"/>
      <c r="L261" s="223"/>
      <c r="M261" s="223"/>
    </row>
    <row r="262" spans="1:20" ht="12" customHeight="1">
      <c r="A262" s="1038"/>
      <c r="B262" s="1005"/>
      <c r="C262" s="244">
        <v>2014</v>
      </c>
      <c r="D262" s="245" t="s">
        <v>462</v>
      </c>
      <c r="E262" s="245">
        <v>44118</v>
      </c>
      <c r="F262" s="254">
        <v>0.6</v>
      </c>
      <c r="G262" s="248">
        <f t="shared" si="22"/>
        <v>0.6</v>
      </c>
      <c r="H262" s="255">
        <v>2</v>
      </c>
      <c r="I262" s="274"/>
      <c r="J262" s="1011"/>
      <c r="L262" s="223"/>
      <c r="M262" s="223"/>
    </row>
    <row r="263" spans="1:20" ht="12" customHeight="1">
      <c r="A263" s="1038"/>
      <c r="B263" s="1005"/>
      <c r="C263" s="244">
        <v>2014</v>
      </c>
      <c r="D263" s="245" t="s">
        <v>462</v>
      </c>
      <c r="E263" s="245">
        <v>44119</v>
      </c>
      <c r="F263" s="254">
        <v>0.6</v>
      </c>
      <c r="G263" s="248">
        <f t="shared" si="22"/>
        <v>0.6</v>
      </c>
      <c r="H263" s="255">
        <v>2</v>
      </c>
      <c r="I263" s="274"/>
      <c r="J263" s="1011"/>
      <c r="L263" s="223"/>
      <c r="M263" s="223"/>
    </row>
    <row r="264" spans="1:20" ht="12" customHeight="1">
      <c r="A264" s="1038"/>
      <c r="B264" s="1006"/>
      <c r="C264" s="1013" t="s">
        <v>102</v>
      </c>
      <c r="D264" s="1014"/>
      <c r="E264" s="1014"/>
      <c r="F264" s="1015"/>
      <c r="G264" s="258">
        <f>SUM(G258:G263)</f>
        <v>3.6</v>
      </c>
      <c r="H264" s="258">
        <f>SUM(H258:H263)</f>
        <v>12</v>
      </c>
      <c r="I264" s="275"/>
      <c r="J264" s="1012"/>
      <c r="L264" s="223"/>
      <c r="M264" s="223"/>
    </row>
    <row r="265" spans="1:20" ht="12" customHeight="1">
      <c r="A265" s="1031" t="s">
        <v>325</v>
      </c>
      <c r="B265" s="1032"/>
      <c r="C265" s="1032"/>
      <c r="D265" s="1032"/>
      <c r="E265" s="1032"/>
      <c r="F265" s="1032"/>
      <c r="G265" s="1032"/>
      <c r="H265" s="1032"/>
      <c r="I265" s="1033"/>
      <c r="J265" s="261">
        <f>SUM(J216:J264)</f>
        <v>2.7499999999999996</v>
      </c>
      <c r="L265" s="1034"/>
      <c r="M265" s="1034"/>
      <c r="N265" s="1034"/>
      <c r="O265" s="1034"/>
      <c r="P265" s="1034"/>
      <c r="Q265" s="1034"/>
      <c r="R265" s="1034"/>
      <c r="S265" s="1034"/>
      <c r="T265" s="1034"/>
    </row>
    <row r="266" spans="1:20" ht="12" customHeight="1">
      <c r="A266" s="262"/>
      <c r="B266" s="262"/>
      <c r="C266" s="262"/>
      <c r="D266" s="262"/>
      <c r="E266" s="262"/>
      <c r="F266" s="262"/>
      <c r="G266" s="262"/>
      <c r="H266" s="262"/>
      <c r="I266" s="262"/>
      <c r="J266" s="262"/>
      <c r="K266" s="263"/>
      <c r="L266" s="1034"/>
      <c r="M266" s="1034"/>
      <c r="N266" s="1034"/>
      <c r="O266" s="1034"/>
      <c r="P266" s="1034"/>
      <c r="Q266" s="1034"/>
      <c r="R266" s="1034"/>
      <c r="S266" s="1034"/>
      <c r="T266" s="1034"/>
    </row>
    <row r="267" spans="1:20" ht="12" customHeight="1">
      <c r="A267" s="223"/>
      <c r="B267" s="219"/>
      <c r="C267" s="219"/>
      <c r="D267" s="219"/>
      <c r="E267" s="220"/>
      <c r="F267" s="220"/>
      <c r="G267" s="221"/>
      <c r="H267" s="221"/>
      <c r="I267" s="221"/>
      <c r="J267" s="221"/>
      <c r="K267" s="221"/>
      <c r="L267" s="220"/>
      <c r="M267" s="222"/>
    </row>
    <row r="268" spans="1:20" ht="26.25" customHeight="1">
      <c r="A268" s="998" t="s">
        <v>331</v>
      </c>
      <c r="B268" s="999"/>
      <c r="C268" s="999"/>
      <c r="D268" s="999"/>
      <c r="E268" s="999"/>
      <c r="F268" s="999"/>
      <c r="G268" s="999"/>
      <c r="H268" s="999"/>
      <c r="I268" s="999"/>
      <c r="J268" s="1000"/>
      <c r="K268" s="237" t="s">
        <v>319</v>
      </c>
      <c r="L268" s="238">
        <f>J214</f>
        <v>45972</v>
      </c>
    </row>
    <row r="269" spans="1:20" ht="12" customHeight="1">
      <c r="A269" s="239" t="s">
        <v>84</v>
      </c>
      <c r="B269" s="239" t="s">
        <v>332</v>
      </c>
      <c r="C269" s="239" t="s">
        <v>333</v>
      </c>
      <c r="D269" s="239" t="s">
        <v>321</v>
      </c>
      <c r="E269" s="239" t="s">
        <v>334</v>
      </c>
      <c r="F269" s="239" t="s">
        <v>335</v>
      </c>
      <c r="G269" s="240" t="s">
        <v>336</v>
      </c>
      <c r="H269" s="240" t="s">
        <v>107</v>
      </c>
      <c r="I269" s="239" t="s">
        <v>337</v>
      </c>
      <c r="J269" s="239" t="s">
        <v>109</v>
      </c>
      <c r="K269" s="239" t="s">
        <v>338</v>
      </c>
      <c r="L269" s="239" t="s">
        <v>323</v>
      </c>
    </row>
    <row r="270" spans="1:20" ht="12" customHeight="1">
      <c r="A270" s="1035" t="s">
        <v>339</v>
      </c>
      <c r="B270" s="1018" t="s">
        <v>463</v>
      </c>
      <c r="C270" s="244">
        <v>1</v>
      </c>
      <c r="D270" s="1021">
        <v>43101</v>
      </c>
      <c r="E270" s="1021">
        <v>44114</v>
      </c>
      <c r="F270" s="265">
        <v>0.6</v>
      </c>
      <c r="G270" s="248">
        <f>1*F270</f>
        <v>0.6</v>
      </c>
      <c r="H270" s="246">
        <v>20</v>
      </c>
      <c r="I270" s="1024">
        <f>ROUNDDOWN(($L$31-D270)/365,1)</f>
        <v>7.8</v>
      </c>
      <c r="J270" s="1024">
        <f>IF(C270="","",IF(AND(I270&lt;20,I270&gt;=10),0.6,IF(AND(I270&lt;10,I270&gt;=5),0.8,IF(I270&lt;5,1,0))))</f>
        <v>0.8</v>
      </c>
      <c r="K270" s="1024">
        <f>IF(C275="","",IF(OR(G275&gt;=5,H275&gt;=20),1,IF(OR(G275&gt;=4,H275&gt;=18),0.9,IF(OR(G275&gt;=3,H275&gt;=16),0.8,IF(OR(G275&gt;=2,H275&gt;=14),0.7,IF(OR(G275&gt;=1,H275&gt;=12),0.6,0))))))</f>
        <v>1</v>
      </c>
      <c r="L270" s="1016">
        <f>IF(C270="","",0.3*J270*K270)</f>
        <v>0.24</v>
      </c>
    </row>
    <row r="271" spans="1:20" ht="12" customHeight="1">
      <c r="A271" s="1036"/>
      <c r="B271" s="1019"/>
      <c r="C271" s="244">
        <v>2</v>
      </c>
      <c r="D271" s="1022"/>
      <c r="E271" s="1022"/>
      <c r="F271" s="265">
        <v>0.6</v>
      </c>
      <c r="G271" s="248">
        <f>1*F271</f>
        <v>0.6</v>
      </c>
      <c r="H271" s="246">
        <v>20</v>
      </c>
      <c r="I271" s="1025"/>
      <c r="J271" s="1025"/>
      <c r="K271" s="1025"/>
      <c r="L271" s="1027"/>
    </row>
    <row r="272" spans="1:20" ht="12" customHeight="1">
      <c r="A272" s="1036"/>
      <c r="B272" s="1019"/>
      <c r="C272" s="244">
        <v>3</v>
      </c>
      <c r="D272" s="1022"/>
      <c r="E272" s="1022"/>
      <c r="F272" s="265">
        <v>0.6</v>
      </c>
      <c r="G272" s="248">
        <f>1*F272</f>
        <v>0.6</v>
      </c>
      <c r="H272" s="246">
        <v>20</v>
      </c>
      <c r="I272" s="1025"/>
      <c r="J272" s="1025"/>
      <c r="K272" s="1025"/>
      <c r="L272" s="1027"/>
    </row>
    <row r="273" spans="1:12" ht="12" customHeight="1">
      <c r="A273" s="1036"/>
      <c r="B273" s="1019"/>
      <c r="C273" s="244">
        <v>4</v>
      </c>
      <c r="D273" s="1022"/>
      <c r="E273" s="1022"/>
      <c r="F273" s="265">
        <v>0.6</v>
      </c>
      <c r="G273" s="248">
        <f>1*F273</f>
        <v>0.6</v>
      </c>
      <c r="H273" s="246">
        <v>20</v>
      </c>
      <c r="I273" s="1025"/>
      <c r="J273" s="1025"/>
      <c r="K273" s="1025"/>
      <c r="L273" s="1027"/>
    </row>
    <row r="274" spans="1:12" ht="12" customHeight="1">
      <c r="A274" s="1036"/>
      <c r="B274" s="1019"/>
      <c r="C274" s="244">
        <v>5</v>
      </c>
      <c r="D274" s="1023"/>
      <c r="E274" s="1023"/>
      <c r="F274" s="265">
        <v>0.6</v>
      </c>
      <c r="G274" s="248">
        <f>1*F274</f>
        <v>0.6</v>
      </c>
      <c r="H274" s="246">
        <v>20</v>
      </c>
      <c r="I274" s="1025"/>
      <c r="J274" s="1025"/>
      <c r="K274" s="1025"/>
      <c r="L274" s="1027"/>
    </row>
    <row r="275" spans="1:12" ht="12" customHeight="1">
      <c r="A275" s="1036"/>
      <c r="B275" s="1020"/>
      <c r="C275" s="1028" t="s">
        <v>102</v>
      </c>
      <c r="D275" s="1029"/>
      <c r="E275" s="1029"/>
      <c r="F275" s="1030"/>
      <c r="G275" s="248">
        <f>SUM(G270:G274)</f>
        <v>3</v>
      </c>
      <c r="H275" s="248">
        <f>SUM(H270:H274)</f>
        <v>100</v>
      </c>
      <c r="I275" s="1026"/>
      <c r="J275" s="1026"/>
      <c r="K275" s="1026"/>
      <c r="L275" s="1017"/>
    </row>
    <row r="276" spans="1:12" ht="12" customHeight="1">
      <c r="A276" s="1036"/>
      <c r="B276" s="1018" t="s">
        <v>463</v>
      </c>
      <c r="C276" s="244">
        <v>1</v>
      </c>
      <c r="D276" s="1021">
        <v>43101</v>
      </c>
      <c r="E276" s="1021">
        <v>44114</v>
      </c>
      <c r="F276" s="265">
        <v>1</v>
      </c>
      <c r="G276" s="248">
        <f>1*F276</f>
        <v>1</v>
      </c>
      <c r="H276" s="246">
        <v>20</v>
      </c>
      <c r="I276" s="1024">
        <f>ROUNDDOWN(($L$31-D276)/365,1)</f>
        <v>7.8</v>
      </c>
      <c r="J276" s="1024">
        <f>IF(C276="","",IF(AND(I276&lt;20,I276&gt;=10),0.6,IF(AND(I276&lt;10,I276&gt;=5),0.8,IF(I276&lt;5,1,0))))</f>
        <v>0.8</v>
      </c>
      <c r="K276" s="1024">
        <f>IF(C281="","",IF(OR(G281&gt;=5,H281&gt;=20),1,IF(OR(G281&gt;=4,H281&gt;=18),0.9,IF(OR(G281&gt;=3,H281&gt;=16),0.8,IF(OR(G281&gt;=2,H281&gt;=14),0.7,IF(OR(G281&gt;=1,H281&gt;=12),0.6,0))))))</f>
        <v>1</v>
      </c>
      <c r="L276" s="1016">
        <f>IF(C276="","",0.3*J276*K276)</f>
        <v>0.24</v>
      </c>
    </row>
    <row r="277" spans="1:12" ht="12" customHeight="1">
      <c r="A277" s="1036"/>
      <c r="B277" s="1019"/>
      <c r="C277" s="244">
        <v>2</v>
      </c>
      <c r="D277" s="1022"/>
      <c r="E277" s="1022"/>
      <c r="F277" s="265">
        <v>0.6</v>
      </c>
      <c r="G277" s="248">
        <f>1*F277</f>
        <v>0.6</v>
      </c>
      <c r="H277" s="246">
        <v>20</v>
      </c>
      <c r="I277" s="1025"/>
      <c r="J277" s="1025"/>
      <c r="K277" s="1025"/>
      <c r="L277" s="1027"/>
    </row>
    <row r="278" spans="1:12" ht="12" customHeight="1">
      <c r="A278" s="1036"/>
      <c r="B278" s="1019"/>
      <c r="C278" s="244">
        <v>3</v>
      </c>
      <c r="D278" s="1022"/>
      <c r="E278" s="1022"/>
      <c r="F278" s="265">
        <v>0.6</v>
      </c>
      <c r="G278" s="248">
        <f>1*F278</f>
        <v>0.6</v>
      </c>
      <c r="H278" s="246">
        <v>20</v>
      </c>
      <c r="I278" s="1025"/>
      <c r="J278" s="1025"/>
      <c r="K278" s="1025"/>
      <c r="L278" s="1027"/>
    </row>
    <row r="279" spans="1:12" ht="12" customHeight="1">
      <c r="A279" s="1036"/>
      <c r="B279" s="1019"/>
      <c r="C279" s="244">
        <v>4</v>
      </c>
      <c r="D279" s="1022"/>
      <c r="E279" s="1022"/>
      <c r="F279" s="265">
        <v>0.6</v>
      </c>
      <c r="G279" s="248">
        <f>1*F279</f>
        <v>0.6</v>
      </c>
      <c r="H279" s="246">
        <v>20</v>
      </c>
      <c r="I279" s="1025"/>
      <c r="J279" s="1025"/>
      <c r="K279" s="1025"/>
      <c r="L279" s="1027"/>
    </row>
    <row r="280" spans="1:12" ht="12" customHeight="1">
      <c r="A280" s="1036"/>
      <c r="B280" s="1019"/>
      <c r="C280" s="244">
        <v>5</v>
      </c>
      <c r="D280" s="1023"/>
      <c r="E280" s="1023"/>
      <c r="F280" s="265">
        <v>0.6</v>
      </c>
      <c r="G280" s="248">
        <f>1*F280</f>
        <v>0.6</v>
      </c>
      <c r="H280" s="246">
        <v>20</v>
      </c>
      <c r="I280" s="1025"/>
      <c r="J280" s="1025"/>
      <c r="K280" s="1025"/>
      <c r="L280" s="1027"/>
    </row>
    <row r="281" spans="1:12" ht="12" customHeight="1">
      <c r="A281" s="1036"/>
      <c r="B281" s="1020"/>
      <c r="C281" s="1028" t="s">
        <v>102</v>
      </c>
      <c r="D281" s="1029"/>
      <c r="E281" s="1029"/>
      <c r="F281" s="1030"/>
      <c r="G281" s="248">
        <f>SUM(G276:G280)</f>
        <v>3.4000000000000004</v>
      </c>
      <c r="H281" s="248">
        <f>SUM(H276:H280)</f>
        <v>100</v>
      </c>
      <c r="I281" s="1026"/>
      <c r="J281" s="1026"/>
      <c r="K281" s="1026"/>
      <c r="L281" s="1017"/>
    </row>
    <row r="282" spans="1:12" ht="12" customHeight="1">
      <c r="A282" s="1036"/>
      <c r="B282" s="1018" t="s">
        <v>463</v>
      </c>
      <c r="C282" s="244">
        <v>1</v>
      </c>
      <c r="D282" s="1021">
        <v>39794</v>
      </c>
      <c r="E282" s="1021">
        <v>44114</v>
      </c>
      <c r="F282" s="265">
        <v>1</v>
      </c>
      <c r="G282" s="248">
        <f>1*F282</f>
        <v>1</v>
      </c>
      <c r="H282" s="246">
        <v>1</v>
      </c>
      <c r="I282" s="1024">
        <f>ROUNDDOWN(($L$31-D282)/365,1)</f>
        <v>16.899999999999999</v>
      </c>
      <c r="J282" s="1024">
        <f>IF(C282="","",IF(AND(I282&lt;20,I282&gt;=10),0.6,IF(AND(I282&lt;10,I282&gt;=5),0.8,IF(I282&lt;5,1,0))))</f>
        <v>0.6</v>
      </c>
      <c r="K282" s="1024">
        <f>IF(C287="","",IF(OR(G287&gt;=5,H287&gt;=20),1,IF(OR(G287&gt;=4,H287&gt;=18),0.9,IF(OR(G287&gt;=3,H287&gt;=16),0.8,IF(OR(G287&gt;=2,H287&gt;=14),0.7,IF(OR(G287&gt;=1,H287&gt;=12),0.6,0))))))</f>
        <v>0.8</v>
      </c>
      <c r="L282" s="1016">
        <f>IF(C282="","",0.3*J282*K282)</f>
        <v>0.14399999999999999</v>
      </c>
    </row>
    <row r="283" spans="1:12" ht="12" customHeight="1">
      <c r="A283" s="1036"/>
      <c r="B283" s="1019"/>
      <c r="C283" s="244">
        <v>2</v>
      </c>
      <c r="D283" s="1022"/>
      <c r="E283" s="1022"/>
      <c r="F283" s="265">
        <v>0.6</v>
      </c>
      <c r="G283" s="248">
        <f>1*F283</f>
        <v>0.6</v>
      </c>
      <c r="H283" s="246">
        <v>1</v>
      </c>
      <c r="I283" s="1025"/>
      <c r="J283" s="1025"/>
      <c r="K283" s="1025"/>
      <c r="L283" s="1027"/>
    </row>
    <row r="284" spans="1:12" ht="12" customHeight="1">
      <c r="A284" s="1036"/>
      <c r="B284" s="1019"/>
      <c r="C284" s="244">
        <v>3</v>
      </c>
      <c r="D284" s="1022"/>
      <c r="E284" s="1022"/>
      <c r="F284" s="265">
        <v>0.6</v>
      </c>
      <c r="G284" s="248">
        <f>1*F284</f>
        <v>0.6</v>
      </c>
      <c r="H284" s="246">
        <v>1</v>
      </c>
      <c r="I284" s="1025"/>
      <c r="J284" s="1025"/>
      <c r="K284" s="1025"/>
      <c r="L284" s="1027"/>
    </row>
    <row r="285" spans="1:12" ht="12" customHeight="1">
      <c r="A285" s="1036"/>
      <c r="B285" s="1019"/>
      <c r="C285" s="244">
        <v>4</v>
      </c>
      <c r="D285" s="1022"/>
      <c r="E285" s="1022"/>
      <c r="F285" s="265">
        <v>0.6</v>
      </c>
      <c r="G285" s="248">
        <f>1*F285</f>
        <v>0.6</v>
      </c>
      <c r="H285" s="246">
        <v>1</v>
      </c>
      <c r="I285" s="1025"/>
      <c r="J285" s="1025"/>
      <c r="K285" s="1025"/>
      <c r="L285" s="1027"/>
    </row>
    <row r="286" spans="1:12" ht="12" customHeight="1">
      <c r="A286" s="1036"/>
      <c r="B286" s="1019"/>
      <c r="C286" s="244">
        <v>5</v>
      </c>
      <c r="D286" s="1023"/>
      <c r="E286" s="1023"/>
      <c r="F286" s="265">
        <v>0.6</v>
      </c>
      <c r="G286" s="248">
        <f>1*F286</f>
        <v>0.6</v>
      </c>
      <c r="H286" s="246">
        <v>1</v>
      </c>
      <c r="I286" s="1025"/>
      <c r="J286" s="1025"/>
      <c r="K286" s="1025"/>
      <c r="L286" s="1027"/>
    </row>
    <row r="287" spans="1:12" ht="12" customHeight="1">
      <c r="A287" s="1036"/>
      <c r="B287" s="1020"/>
      <c r="C287" s="1028" t="s">
        <v>102</v>
      </c>
      <c r="D287" s="1029"/>
      <c r="E287" s="1029"/>
      <c r="F287" s="1030"/>
      <c r="G287" s="248">
        <f>SUM(G282:G286)</f>
        <v>3.4000000000000004</v>
      </c>
      <c r="H287" s="248">
        <f>SUM(H282:H286)</f>
        <v>5</v>
      </c>
      <c r="I287" s="1026"/>
      <c r="J287" s="1026"/>
      <c r="K287" s="1026"/>
      <c r="L287" s="1017"/>
    </row>
    <row r="288" spans="1:12" ht="12" customHeight="1">
      <c r="A288" s="1036"/>
      <c r="B288" s="1018" t="s">
        <v>463</v>
      </c>
      <c r="C288" s="244">
        <v>1</v>
      </c>
      <c r="D288" s="1021">
        <v>39794</v>
      </c>
      <c r="E288" s="1021">
        <v>44114</v>
      </c>
      <c r="F288" s="265">
        <v>1</v>
      </c>
      <c r="G288" s="248">
        <f>1*F288</f>
        <v>1</v>
      </c>
      <c r="H288" s="246">
        <v>1</v>
      </c>
      <c r="I288" s="1024">
        <f>ROUNDDOWN(($L$31-D288)/365,1)</f>
        <v>16.899999999999999</v>
      </c>
      <c r="J288" s="1024">
        <f>IF(C288="","",IF(AND(I288&lt;20,I288&gt;=10),0.6,IF(AND(I288&lt;10,I288&gt;=5),0.8,IF(I288&lt;5,1,0))))</f>
        <v>0.6</v>
      </c>
      <c r="K288" s="1024">
        <f>IF(C293="","",IF(OR(G293&gt;=5,H293&gt;=20),1,IF(OR(G293&gt;=4,H293&gt;=18),0.9,IF(OR(G293&gt;=3,H293&gt;=16),0.8,IF(OR(G293&gt;=2,H293&gt;=14),0.7,IF(OR(G293&gt;=1,H293&gt;=12),0.6,0))))))</f>
        <v>0.8</v>
      </c>
      <c r="L288" s="1016">
        <f>IF(C288="","",0.3*J288*K288)</f>
        <v>0.14399999999999999</v>
      </c>
    </row>
    <row r="289" spans="1:13" ht="12" customHeight="1">
      <c r="A289" s="1036"/>
      <c r="B289" s="1019"/>
      <c r="C289" s="244">
        <v>2</v>
      </c>
      <c r="D289" s="1022"/>
      <c r="E289" s="1022"/>
      <c r="F289" s="265">
        <v>0.6</v>
      </c>
      <c r="G289" s="248">
        <f>1*F289</f>
        <v>0.6</v>
      </c>
      <c r="H289" s="246">
        <v>1</v>
      </c>
      <c r="I289" s="1025"/>
      <c r="J289" s="1025"/>
      <c r="K289" s="1025"/>
      <c r="L289" s="1027"/>
    </row>
    <row r="290" spans="1:13" ht="12" customHeight="1">
      <c r="A290" s="1036"/>
      <c r="B290" s="1019"/>
      <c r="C290" s="244">
        <v>3</v>
      </c>
      <c r="D290" s="1022"/>
      <c r="E290" s="1022"/>
      <c r="F290" s="265">
        <v>0.6</v>
      </c>
      <c r="G290" s="248">
        <f>1*F290</f>
        <v>0.6</v>
      </c>
      <c r="H290" s="246">
        <v>1</v>
      </c>
      <c r="I290" s="1025"/>
      <c r="J290" s="1025"/>
      <c r="K290" s="1025"/>
      <c r="L290" s="1027"/>
    </row>
    <row r="291" spans="1:13" ht="12" customHeight="1">
      <c r="A291" s="1036"/>
      <c r="B291" s="1019"/>
      <c r="C291" s="244">
        <v>4</v>
      </c>
      <c r="D291" s="1022"/>
      <c r="E291" s="1022"/>
      <c r="F291" s="265">
        <v>0.6</v>
      </c>
      <c r="G291" s="248">
        <f>1*F291</f>
        <v>0.6</v>
      </c>
      <c r="H291" s="246">
        <v>1</v>
      </c>
      <c r="I291" s="1025"/>
      <c r="J291" s="1025"/>
      <c r="K291" s="1025"/>
      <c r="L291" s="1027"/>
    </row>
    <row r="292" spans="1:13" ht="12" customHeight="1">
      <c r="A292" s="1036"/>
      <c r="B292" s="1019"/>
      <c r="C292" s="244">
        <v>5</v>
      </c>
      <c r="D292" s="1023"/>
      <c r="E292" s="1023"/>
      <c r="F292" s="265">
        <v>0.6</v>
      </c>
      <c r="G292" s="248">
        <f>1*F292</f>
        <v>0.6</v>
      </c>
      <c r="H292" s="246">
        <v>1</v>
      </c>
      <c r="I292" s="1025"/>
      <c r="J292" s="1025"/>
      <c r="K292" s="1025"/>
      <c r="L292" s="1027"/>
    </row>
    <row r="293" spans="1:13" ht="12" customHeight="1">
      <c r="A293" s="1036"/>
      <c r="B293" s="1020"/>
      <c r="C293" s="1028" t="s">
        <v>102</v>
      </c>
      <c r="D293" s="1029"/>
      <c r="E293" s="1029"/>
      <c r="F293" s="1030"/>
      <c r="G293" s="248">
        <f>SUM(G288:G292)</f>
        <v>3.4000000000000004</v>
      </c>
      <c r="H293" s="248">
        <f>SUM(H288:H292)</f>
        <v>5</v>
      </c>
      <c r="I293" s="1026"/>
      <c r="J293" s="1026"/>
      <c r="K293" s="1026"/>
      <c r="L293" s="1017"/>
    </row>
    <row r="294" spans="1:13" ht="12" customHeight="1">
      <c r="A294" s="1036"/>
      <c r="B294" s="1018" t="s">
        <v>463</v>
      </c>
      <c r="C294" s="244">
        <v>1</v>
      </c>
      <c r="D294" s="1021">
        <v>39794</v>
      </c>
      <c r="E294" s="1021">
        <v>44114</v>
      </c>
      <c r="F294" s="265">
        <v>1</v>
      </c>
      <c r="G294" s="248">
        <f>1*F294</f>
        <v>1</v>
      </c>
      <c r="H294" s="246">
        <v>1</v>
      </c>
      <c r="I294" s="1024">
        <f>ROUNDDOWN(($L$31-D294)/365,1)</f>
        <v>16.899999999999999</v>
      </c>
      <c r="J294" s="1024">
        <f>IF(C294="","",IF(AND(I294&lt;20,I294&gt;=10),0.6,IF(AND(I294&lt;10,I294&gt;=5),0.8,IF(I294&lt;5,1,0))))</f>
        <v>0.6</v>
      </c>
      <c r="K294" s="1024">
        <f>IF(C299="","",IF(OR(G299&gt;=5,H299&gt;=20),1,IF(OR(G299&gt;=4,H299&gt;=18),0.9,IF(OR(G299&gt;=3,H299&gt;=16),0.8,IF(OR(G299&gt;=2,H299&gt;=14),0.7,IF(OR(G299&gt;=1,H299&gt;=12),0.6,0))))))</f>
        <v>0.8</v>
      </c>
      <c r="L294" s="1016">
        <f>IF(C294="","",0.3*J294*K294)</f>
        <v>0.14399999999999999</v>
      </c>
    </row>
    <row r="295" spans="1:13" ht="12" customHeight="1">
      <c r="A295" s="1036"/>
      <c r="B295" s="1019"/>
      <c r="C295" s="244">
        <v>2</v>
      </c>
      <c r="D295" s="1022"/>
      <c r="E295" s="1022"/>
      <c r="F295" s="265">
        <v>0.6</v>
      </c>
      <c r="G295" s="248">
        <f>1*F295</f>
        <v>0.6</v>
      </c>
      <c r="H295" s="246">
        <v>1</v>
      </c>
      <c r="I295" s="1025"/>
      <c r="J295" s="1025"/>
      <c r="K295" s="1025"/>
      <c r="L295" s="1027"/>
    </row>
    <row r="296" spans="1:13" ht="12" customHeight="1">
      <c r="A296" s="1036"/>
      <c r="B296" s="1019"/>
      <c r="C296" s="244">
        <v>3</v>
      </c>
      <c r="D296" s="1022"/>
      <c r="E296" s="1022"/>
      <c r="F296" s="265">
        <v>0.6</v>
      </c>
      <c r="G296" s="248">
        <f>1*F296</f>
        <v>0.6</v>
      </c>
      <c r="H296" s="246">
        <v>1</v>
      </c>
      <c r="I296" s="1025"/>
      <c r="J296" s="1025"/>
      <c r="K296" s="1025"/>
      <c r="L296" s="1027"/>
    </row>
    <row r="297" spans="1:13" ht="12" customHeight="1">
      <c r="A297" s="1036"/>
      <c r="B297" s="1019"/>
      <c r="C297" s="244">
        <v>4</v>
      </c>
      <c r="D297" s="1022"/>
      <c r="E297" s="1022"/>
      <c r="F297" s="265">
        <v>0.6</v>
      </c>
      <c r="G297" s="248">
        <f>1*F297</f>
        <v>0.6</v>
      </c>
      <c r="H297" s="246">
        <v>1</v>
      </c>
      <c r="I297" s="1025"/>
      <c r="J297" s="1025"/>
      <c r="K297" s="1025"/>
      <c r="L297" s="1027"/>
    </row>
    <row r="298" spans="1:13" ht="12" customHeight="1">
      <c r="A298" s="1036"/>
      <c r="B298" s="1019"/>
      <c r="C298" s="244">
        <v>5</v>
      </c>
      <c r="D298" s="1023"/>
      <c r="E298" s="1023"/>
      <c r="F298" s="265">
        <v>0.6</v>
      </c>
      <c r="G298" s="248">
        <f>1*F298</f>
        <v>0.6</v>
      </c>
      <c r="H298" s="246">
        <v>1</v>
      </c>
      <c r="I298" s="1025"/>
      <c r="J298" s="1025"/>
      <c r="K298" s="1025"/>
      <c r="L298" s="1027"/>
    </row>
    <row r="299" spans="1:13" ht="12" customHeight="1">
      <c r="A299" s="1037"/>
      <c r="B299" s="1020"/>
      <c r="C299" s="1028" t="s">
        <v>102</v>
      </c>
      <c r="D299" s="1029"/>
      <c r="E299" s="1029"/>
      <c r="F299" s="1030"/>
      <c r="G299" s="248">
        <f>SUM(G294:G298)</f>
        <v>3.4000000000000004</v>
      </c>
      <c r="H299" s="248">
        <f>SUM(H294:H298)</f>
        <v>5</v>
      </c>
      <c r="I299" s="1026"/>
      <c r="J299" s="1026"/>
      <c r="K299" s="1026"/>
      <c r="L299" s="1017"/>
    </row>
    <row r="300" spans="1:13" ht="12" customHeight="1">
      <c r="A300" s="1031" t="s">
        <v>325</v>
      </c>
      <c r="B300" s="1032"/>
      <c r="C300" s="1032"/>
      <c r="D300" s="1032"/>
      <c r="E300" s="1032"/>
      <c r="F300" s="1032"/>
      <c r="G300" s="1032"/>
      <c r="H300" s="1032"/>
      <c r="I300" s="1032"/>
      <c r="J300" s="1032"/>
      <c r="K300" s="1033"/>
      <c r="L300" s="261">
        <f>IF(SUM(L270:L299)&gt;1,1,SUM(L270:L299))</f>
        <v>0.91200000000000003</v>
      </c>
    </row>
    <row r="301" spans="1:13" ht="12" customHeight="1">
      <c r="A301" s="223"/>
      <c r="B301" s="219"/>
      <c r="C301" s="219"/>
      <c r="D301" s="219"/>
      <c r="E301" s="220"/>
      <c r="F301" s="220"/>
      <c r="G301" s="221"/>
      <c r="H301" s="221"/>
      <c r="I301" s="221"/>
      <c r="J301" s="221"/>
      <c r="K301" s="221"/>
      <c r="L301" s="220"/>
      <c r="M301" s="222"/>
    </row>
    <row r="302" spans="1:13" ht="12" customHeight="1">
      <c r="A302" s="223"/>
      <c r="B302" s="219"/>
      <c r="C302" s="219"/>
      <c r="D302" s="219"/>
      <c r="E302" s="220"/>
      <c r="F302" s="220"/>
      <c r="G302" s="221"/>
      <c r="H302" s="221"/>
      <c r="I302" s="221"/>
      <c r="J302" s="221"/>
      <c r="K302" s="221"/>
      <c r="L302" s="220"/>
      <c r="M302" s="222"/>
    </row>
    <row r="303" spans="1:13" ht="12" customHeight="1">
      <c r="A303" s="223"/>
      <c r="B303" s="219"/>
      <c r="C303" s="219"/>
      <c r="D303" s="219"/>
      <c r="E303" s="220"/>
      <c r="F303" s="220"/>
      <c r="G303" s="221"/>
      <c r="H303" s="221"/>
      <c r="I303" s="221"/>
      <c r="J303" s="221"/>
      <c r="K303" s="221"/>
      <c r="L303" s="220"/>
      <c r="M303" s="222"/>
    </row>
    <row r="304" spans="1:13" ht="12" customHeight="1">
      <c r="A304" s="223"/>
      <c r="B304" s="219"/>
      <c r="C304" s="219"/>
      <c r="D304" s="219"/>
      <c r="E304" s="220"/>
      <c r="F304" s="220"/>
      <c r="G304" s="221"/>
      <c r="H304" s="221"/>
      <c r="I304" s="221"/>
      <c r="J304" s="221"/>
      <c r="K304" s="221"/>
      <c r="L304" s="220"/>
      <c r="M304" s="222"/>
    </row>
    <row r="305" spans="1:13" ht="12" customHeight="1">
      <c r="A305" s="223"/>
      <c r="B305" s="219"/>
      <c r="C305" s="219"/>
      <c r="D305" s="219"/>
      <c r="E305" s="220"/>
      <c r="F305" s="220"/>
      <c r="G305" s="221"/>
      <c r="H305" s="221"/>
      <c r="I305" s="221"/>
      <c r="J305" s="221"/>
      <c r="K305" s="221"/>
      <c r="L305" s="220"/>
      <c r="M305" s="222"/>
    </row>
    <row r="306" spans="1:13" ht="12" customHeight="1">
      <c r="A306" s="223"/>
      <c r="B306" s="219"/>
      <c r="C306" s="219"/>
      <c r="D306" s="219"/>
      <c r="E306" s="220"/>
      <c r="F306" s="220"/>
      <c r="G306" s="221"/>
      <c r="H306" s="221"/>
      <c r="I306" s="221"/>
      <c r="J306" s="221"/>
      <c r="K306" s="221"/>
      <c r="L306" s="220"/>
      <c r="M306" s="222"/>
    </row>
    <row r="307" spans="1:13" ht="12" customHeight="1">
      <c r="A307" s="223"/>
      <c r="B307" s="219"/>
      <c r="C307" s="219"/>
      <c r="D307" s="219"/>
      <c r="E307" s="220"/>
      <c r="F307" s="220"/>
      <c r="G307" s="221"/>
      <c r="H307" s="221"/>
      <c r="I307" s="221"/>
      <c r="J307" s="221"/>
      <c r="K307" s="221"/>
      <c r="L307" s="220"/>
      <c r="M307" s="222"/>
    </row>
    <row r="308" spans="1:13" ht="12" customHeight="1">
      <c r="A308" s="223"/>
      <c r="B308" s="219"/>
      <c r="C308" s="219"/>
      <c r="D308" s="219"/>
      <c r="E308" s="220"/>
      <c r="F308" s="220"/>
      <c r="G308" s="221"/>
      <c r="H308" s="221"/>
      <c r="I308" s="221"/>
      <c r="J308" s="221"/>
      <c r="K308" s="221"/>
      <c r="L308" s="220"/>
      <c r="M308" s="222"/>
    </row>
    <row r="309" spans="1:13" ht="12" customHeight="1">
      <c r="A309" s="223"/>
      <c r="B309" s="219"/>
      <c r="C309" s="219"/>
      <c r="D309" s="219"/>
      <c r="E309" s="220"/>
      <c r="F309" s="220"/>
      <c r="G309" s="221"/>
      <c r="H309" s="221"/>
      <c r="I309" s="221"/>
      <c r="J309" s="221"/>
      <c r="K309" s="221"/>
      <c r="L309" s="220"/>
      <c r="M309" s="222"/>
    </row>
    <row r="310" spans="1:13" ht="12" customHeight="1">
      <c r="A310" s="223"/>
      <c r="B310" s="219"/>
      <c r="C310" s="219"/>
      <c r="D310" s="219"/>
      <c r="E310" s="220"/>
      <c r="F310" s="220"/>
      <c r="G310" s="221"/>
      <c r="H310" s="221"/>
      <c r="I310" s="221"/>
      <c r="J310" s="221"/>
      <c r="K310" s="221"/>
      <c r="L310" s="220"/>
      <c r="M310" s="222"/>
    </row>
    <row r="311" spans="1:13" ht="12" customHeight="1">
      <c r="A311" s="223"/>
      <c r="B311" s="219"/>
      <c r="C311" s="219"/>
      <c r="D311" s="219"/>
      <c r="E311" s="220"/>
      <c r="F311" s="220"/>
      <c r="G311" s="221"/>
      <c r="H311" s="221"/>
      <c r="I311" s="221"/>
      <c r="J311" s="221"/>
      <c r="K311" s="221"/>
      <c r="L311" s="220"/>
      <c r="M311" s="222"/>
    </row>
    <row r="312" spans="1:13" ht="12" customHeight="1">
      <c r="A312" s="223"/>
      <c r="B312" s="219"/>
      <c r="C312" s="219"/>
      <c r="D312" s="219"/>
      <c r="E312" s="220"/>
      <c r="F312" s="220"/>
      <c r="G312" s="221"/>
      <c r="H312" s="221"/>
      <c r="I312" s="221"/>
      <c r="J312" s="221"/>
      <c r="K312" s="221"/>
      <c r="L312" s="220"/>
      <c r="M312" s="222"/>
    </row>
    <row r="313" spans="1:13" ht="12" customHeight="1">
      <c r="A313" s="223"/>
      <c r="B313" s="219"/>
      <c r="C313" s="219"/>
      <c r="D313" s="219"/>
      <c r="E313" s="220"/>
      <c r="F313" s="220"/>
      <c r="G313" s="221"/>
      <c r="H313" s="221"/>
      <c r="I313" s="221"/>
      <c r="J313" s="221"/>
      <c r="K313" s="221"/>
      <c r="L313" s="220"/>
      <c r="M313" s="222"/>
    </row>
    <row r="314" spans="1:13" ht="12" customHeight="1">
      <c r="A314" s="223"/>
      <c r="B314" s="219"/>
      <c r="C314" s="219"/>
      <c r="D314" s="219"/>
      <c r="E314" s="220"/>
      <c r="F314" s="220"/>
      <c r="G314" s="221"/>
      <c r="H314" s="221"/>
      <c r="I314" s="221"/>
      <c r="J314" s="221"/>
      <c r="K314" s="221"/>
      <c r="L314" s="220"/>
      <c r="M314" s="222"/>
    </row>
    <row r="315" spans="1:13" ht="12" customHeight="1">
      <c r="A315" s="223"/>
      <c r="B315" s="219"/>
      <c r="C315" s="219"/>
      <c r="D315" s="219"/>
      <c r="E315" s="220"/>
      <c r="F315" s="220"/>
      <c r="G315" s="221"/>
      <c r="H315" s="221"/>
      <c r="I315" s="221"/>
      <c r="J315" s="221"/>
      <c r="K315" s="221"/>
      <c r="L315" s="220"/>
      <c r="M315" s="222"/>
    </row>
    <row r="316" spans="1:13" ht="12" customHeight="1">
      <c r="A316" s="223"/>
      <c r="B316" s="219"/>
      <c r="C316" s="219"/>
      <c r="D316" s="219"/>
      <c r="E316" s="220"/>
      <c r="F316" s="220"/>
      <c r="G316" s="221"/>
      <c r="H316" s="221"/>
      <c r="I316" s="221"/>
      <c r="J316" s="221"/>
      <c r="K316" s="221"/>
      <c r="L316" s="220"/>
      <c r="M316" s="222"/>
    </row>
    <row r="317" spans="1:13" ht="12" customHeight="1">
      <c r="A317" s="223"/>
      <c r="B317" s="219"/>
      <c r="C317" s="219"/>
      <c r="D317" s="219"/>
      <c r="E317" s="220"/>
      <c r="F317" s="220"/>
      <c r="G317" s="221"/>
      <c r="H317" s="221"/>
      <c r="I317" s="221"/>
      <c r="J317" s="221"/>
      <c r="K317" s="221"/>
      <c r="L317" s="220"/>
      <c r="M317" s="222"/>
    </row>
    <row r="318" spans="1:13" ht="12" customHeight="1">
      <c r="A318" s="223"/>
      <c r="B318" s="219"/>
      <c r="C318" s="219"/>
      <c r="D318" s="219"/>
      <c r="E318" s="220"/>
      <c r="F318" s="220"/>
      <c r="G318" s="221"/>
      <c r="H318" s="221"/>
      <c r="I318" s="221"/>
      <c r="J318" s="221"/>
      <c r="K318" s="221"/>
      <c r="L318" s="220"/>
      <c r="M318" s="222"/>
    </row>
    <row r="319" spans="1:13" ht="12" customHeight="1">
      <c r="A319" s="223"/>
      <c r="B319" s="219"/>
      <c r="C319" s="219"/>
      <c r="D319" s="219"/>
      <c r="E319" s="220"/>
      <c r="F319" s="220"/>
      <c r="G319" s="221"/>
      <c r="H319" s="221"/>
      <c r="I319" s="221"/>
      <c r="J319" s="221"/>
      <c r="K319" s="221"/>
      <c r="L319" s="220"/>
      <c r="M319" s="222"/>
    </row>
    <row r="320" spans="1:13" ht="12" customHeight="1">
      <c r="A320" s="223"/>
      <c r="B320" s="219"/>
      <c r="C320" s="219"/>
      <c r="D320" s="219"/>
      <c r="E320" s="220"/>
      <c r="F320" s="220"/>
      <c r="G320" s="221"/>
      <c r="H320" s="221"/>
      <c r="I320" s="221"/>
      <c r="J320" s="221"/>
      <c r="K320" s="221"/>
      <c r="L320" s="220"/>
      <c r="M320" s="222"/>
    </row>
    <row r="321" spans="1:13" ht="12" customHeight="1">
      <c r="A321" s="223"/>
      <c r="B321" s="219"/>
      <c r="C321" s="219"/>
      <c r="D321" s="219"/>
      <c r="E321" s="220"/>
      <c r="F321" s="220"/>
      <c r="G321" s="221"/>
      <c r="H321" s="221"/>
      <c r="I321" s="221"/>
      <c r="J321" s="221"/>
      <c r="K321" s="221"/>
      <c r="L321" s="220"/>
      <c r="M321" s="222"/>
    </row>
    <row r="322" spans="1:13" ht="12" customHeight="1">
      <c r="A322" s="223"/>
      <c r="B322" s="219"/>
      <c r="C322" s="219"/>
      <c r="D322" s="219"/>
      <c r="E322" s="220"/>
      <c r="F322" s="220"/>
      <c r="G322" s="221"/>
      <c r="H322" s="221"/>
      <c r="I322" s="221"/>
      <c r="J322" s="221"/>
      <c r="K322" s="221"/>
      <c r="L322" s="220"/>
      <c r="M322" s="222"/>
    </row>
    <row r="323" spans="1:13" ht="12" customHeight="1">
      <c r="A323" s="223"/>
      <c r="B323" s="219"/>
      <c r="C323" s="219"/>
      <c r="D323" s="219"/>
      <c r="E323" s="220"/>
      <c r="F323" s="220"/>
      <c r="G323" s="221"/>
      <c r="H323" s="221"/>
      <c r="I323" s="221"/>
      <c r="J323" s="221"/>
      <c r="K323" s="221"/>
      <c r="L323" s="220"/>
      <c r="M323" s="222"/>
    </row>
    <row r="324" spans="1:13" ht="12" customHeight="1">
      <c r="A324" s="223"/>
      <c r="B324" s="219"/>
      <c r="C324" s="219"/>
      <c r="D324" s="219"/>
      <c r="E324" s="220"/>
      <c r="F324" s="220"/>
      <c r="G324" s="221"/>
      <c r="H324" s="221"/>
      <c r="I324" s="221"/>
      <c r="J324" s="221"/>
      <c r="K324" s="221"/>
      <c r="L324" s="220"/>
      <c r="M324" s="222"/>
    </row>
    <row r="325" spans="1:13" ht="12" customHeight="1">
      <c r="A325" s="223"/>
      <c r="B325" s="219"/>
      <c r="C325" s="219"/>
      <c r="D325" s="219"/>
      <c r="E325" s="220"/>
      <c r="F325" s="220"/>
      <c r="G325" s="221"/>
      <c r="H325" s="221"/>
      <c r="I325" s="221"/>
      <c r="J325" s="221"/>
      <c r="K325" s="221"/>
      <c r="L325" s="220"/>
      <c r="M325" s="222"/>
    </row>
    <row r="326" spans="1:13" ht="12" customHeight="1">
      <c r="A326" s="223"/>
      <c r="B326" s="219"/>
      <c r="C326" s="219"/>
      <c r="D326" s="219"/>
      <c r="E326" s="220"/>
      <c r="F326" s="220"/>
      <c r="G326" s="221"/>
      <c r="H326" s="221"/>
      <c r="I326" s="221"/>
      <c r="J326" s="221"/>
      <c r="K326" s="221"/>
      <c r="L326" s="220"/>
      <c r="M326" s="222"/>
    </row>
    <row r="327" spans="1:13" ht="12" customHeight="1">
      <c r="A327" s="223"/>
      <c r="B327" s="219"/>
      <c r="C327" s="219"/>
      <c r="D327" s="219"/>
      <c r="E327" s="220"/>
      <c r="F327" s="220"/>
      <c r="G327" s="221"/>
      <c r="H327" s="221"/>
      <c r="I327" s="221"/>
      <c r="J327" s="221"/>
      <c r="K327" s="221"/>
      <c r="L327" s="220"/>
      <c r="M327" s="222"/>
    </row>
    <row r="328" spans="1:13" ht="12" customHeight="1">
      <c r="A328" s="223"/>
      <c r="B328" s="219"/>
      <c r="C328" s="219"/>
      <c r="D328" s="219"/>
      <c r="E328" s="220"/>
      <c r="F328" s="220"/>
      <c r="G328" s="221"/>
      <c r="H328" s="221"/>
      <c r="I328" s="221"/>
      <c r="J328" s="221"/>
      <c r="K328" s="221"/>
      <c r="L328" s="220"/>
      <c r="M328" s="222"/>
    </row>
    <row r="329" spans="1:13" ht="12" customHeight="1">
      <c r="A329" s="223"/>
      <c r="B329" s="219"/>
      <c r="C329" s="219"/>
      <c r="D329" s="219"/>
      <c r="E329" s="220"/>
      <c r="F329" s="220"/>
      <c r="G329" s="221"/>
      <c r="H329" s="221"/>
      <c r="I329" s="221"/>
      <c r="J329" s="221"/>
      <c r="K329" s="221"/>
      <c r="L329" s="220"/>
      <c r="M329" s="222"/>
    </row>
    <row r="330" spans="1:13" ht="12" customHeight="1">
      <c r="A330" s="223"/>
      <c r="B330" s="219"/>
      <c r="C330" s="219"/>
      <c r="D330" s="219"/>
      <c r="E330" s="220"/>
      <c r="F330" s="220"/>
      <c r="G330" s="221"/>
      <c r="H330" s="221"/>
      <c r="I330" s="221"/>
      <c r="J330" s="221"/>
      <c r="K330" s="221"/>
      <c r="L330" s="220"/>
      <c r="M330" s="222"/>
    </row>
    <row r="331" spans="1:13" ht="12" customHeight="1">
      <c r="A331" s="223"/>
      <c r="B331" s="219"/>
      <c r="C331" s="219"/>
      <c r="D331" s="219"/>
      <c r="E331" s="220"/>
      <c r="F331" s="220"/>
      <c r="G331" s="221"/>
      <c r="H331" s="221"/>
      <c r="I331" s="221"/>
      <c r="J331" s="221"/>
      <c r="K331" s="221"/>
      <c r="L331" s="220"/>
      <c r="M331" s="222"/>
    </row>
    <row r="332" spans="1:13" ht="12" customHeight="1">
      <c r="A332" s="223"/>
      <c r="B332" s="219"/>
      <c r="C332" s="219"/>
      <c r="D332" s="219"/>
      <c r="E332" s="220"/>
      <c r="F332" s="220"/>
      <c r="G332" s="221"/>
      <c r="H332" s="221"/>
      <c r="I332" s="221"/>
      <c r="J332" s="221"/>
      <c r="K332" s="221"/>
      <c r="L332" s="220"/>
      <c r="M332" s="222"/>
    </row>
    <row r="333" spans="1:13" ht="12" customHeight="1">
      <c r="A333" s="223"/>
      <c r="B333" s="219"/>
      <c r="C333" s="219"/>
      <c r="D333" s="219"/>
      <c r="E333" s="220"/>
      <c r="F333" s="220"/>
      <c r="G333" s="221"/>
      <c r="H333" s="221"/>
      <c r="I333" s="221"/>
      <c r="J333" s="221"/>
      <c r="K333" s="221"/>
      <c r="L333" s="220"/>
      <c r="M333" s="222"/>
    </row>
    <row r="334" spans="1:13" ht="12" customHeight="1">
      <c r="A334" s="223"/>
      <c r="B334" s="219"/>
      <c r="C334" s="219"/>
      <c r="D334" s="219"/>
      <c r="E334" s="220"/>
      <c r="F334" s="220"/>
      <c r="G334" s="221"/>
      <c r="H334" s="221"/>
      <c r="I334" s="221"/>
      <c r="J334" s="221"/>
      <c r="K334" s="221"/>
      <c r="L334" s="220"/>
      <c r="M334" s="222"/>
    </row>
    <row r="335" spans="1:13" ht="12" customHeight="1">
      <c r="A335" s="223"/>
      <c r="B335" s="219"/>
      <c r="C335" s="219"/>
      <c r="D335" s="219"/>
      <c r="E335" s="220"/>
      <c r="F335" s="220"/>
      <c r="G335" s="221"/>
      <c r="H335" s="221"/>
      <c r="I335" s="221"/>
      <c r="J335" s="221"/>
      <c r="K335" s="221"/>
      <c r="L335" s="220"/>
      <c r="M335" s="222"/>
    </row>
    <row r="336" spans="1:13" ht="12" customHeight="1">
      <c r="A336" s="223"/>
      <c r="B336" s="219"/>
      <c r="C336" s="219"/>
      <c r="D336" s="219"/>
      <c r="E336" s="220"/>
      <c r="F336" s="220"/>
      <c r="G336" s="221"/>
      <c r="H336" s="221"/>
      <c r="I336" s="221"/>
      <c r="J336" s="221"/>
      <c r="K336" s="221"/>
      <c r="L336" s="220"/>
      <c r="M336" s="222"/>
    </row>
    <row r="337" spans="1:13" ht="12" customHeight="1">
      <c r="A337" s="223"/>
      <c r="B337" s="219"/>
      <c r="C337" s="219"/>
      <c r="D337" s="219"/>
      <c r="E337" s="220"/>
      <c r="F337" s="220"/>
      <c r="G337" s="221"/>
      <c r="H337" s="221"/>
      <c r="I337" s="221"/>
      <c r="J337" s="221"/>
      <c r="K337" s="221"/>
      <c r="L337" s="220"/>
      <c r="M337" s="222"/>
    </row>
    <row r="338" spans="1:13" ht="12" customHeight="1">
      <c r="A338" s="223"/>
      <c r="B338" s="219"/>
      <c r="C338" s="219"/>
      <c r="D338" s="219"/>
      <c r="E338" s="220"/>
      <c r="F338" s="220"/>
      <c r="G338" s="221"/>
      <c r="H338" s="221"/>
      <c r="I338" s="221"/>
      <c r="J338" s="221"/>
      <c r="K338" s="221"/>
      <c r="L338" s="220"/>
      <c r="M338" s="222"/>
    </row>
    <row r="339" spans="1:13" ht="12" customHeight="1">
      <c r="A339" s="223"/>
      <c r="B339" s="219"/>
      <c r="C339" s="219"/>
      <c r="D339" s="219"/>
      <c r="E339" s="220"/>
      <c r="F339" s="220"/>
      <c r="G339" s="221"/>
      <c r="H339" s="221"/>
      <c r="I339" s="221"/>
      <c r="J339" s="221"/>
      <c r="K339" s="221"/>
      <c r="L339" s="220"/>
      <c r="M339" s="222"/>
    </row>
    <row r="340" spans="1:13" ht="12" customHeight="1">
      <c r="A340" s="223"/>
      <c r="B340" s="219"/>
      <c r="C340" s="219"/>
      <c r="D340" s="219"/>
      <c r="E340" s="220"/>
      <c r="F340" s="220"/>
      <c r="G340" s="221"/>
      <c r="H340" s="221"/>
      <c r="I340" s="221"/>
      <c r="J340" s="221"/>
      <c r="K340" s="221"/>
      <c r="L340" s="220"/>
      <c r="M340" s="222"/>
    </row>
    <row r="341" spans="1:13" ht="12" customHeight="1">
      <c r="A341" s="223"/>
      <c r="B341" s="219"/>
      <c r="C341" s="219"/>
      <c r="D341" s="219"/>
      <c r="E341" s="220"/>
      <c r="F341" s="220"/>
      <c r="G341" s="221"/>
      <c r="H341" s="221"/>
      <c r="I341" s="221"/>
      <c r="J341" s="221"/>
      <c r="K341" s="221"/>
      <c r="L341" s="220"/>
      <c r="M341" s="222"/>
    </row>
    <row r="342" spans="1:13" ht="12" customHeight="1">
      <c r="A342" s="223"/>
      <c r="B342" s="219"/>
      <c r="C342" s="219"/>
      <c r="D342" s="219"/>
      <c r="E342" s="220"/>
      <c r="F342" s="220"/>
      <c r="G342" s="221"/>
      <c r="H342" s="221"/>
      <c r="I342" s="221"/>
      <c r="J342" s="221"/>
      <c r="K342" s="221"/>
      <c r="L342" s="220"/>
      <c r="M342" s="222"/>
    </row>
    <row r="343" spans="1:13" ht="12" customHeight="1">
      <c r="A343" s="223"/>
      <c r="B343" s="219"/>
      <c r="C343" s="219"/>
      <c r="D343" s="219"/>
      <c r="E343" s="220"/>
      <c r="F343" s="220"/>
      <c r="G343" s="221"/>
      <c r="H343" s="221"/>
      <c r="I343" s="221"/>
      <c r="J343" s="221"/>
      <c r="K343" s="221"/>
      <c r="L343" s="220"/>
      <c r="M343" s="222"/>
    </row>
    <row r="344" spans="1:13" ht="12" customHeight="1">
      <c r="A344" s="223"/>
      <c r="B344" s="219"/>
      <c r="C344" s="219"/>
      <c r="D344" s="219"/>
      <c r="E344" s="220"/>
      <c r="F344" s="220"/>
      <c r="G344" s="221"/>
      <c r="H344" s="221"/>
      <c r="I344" s="221"/>
      <c r="J344" s="221"/>
      <c r="K344" s="221"/>
      <c r="L344" s="220"/>
      <c r="M344" s="222"/>
    </row>
    <row r="345" spans="1:13" ht="12" customHeight="1">
      <c r="A345" s="223"/>
      <c r="B345" s="219"/>
      <c r="C345" s="219"/>
      <c r="D345" s="219"/>
      <c r="E345" s="220"/>
      <c r="F345" s="220"/>
      <c r="G345" s="221"/>
      <c r="H345" s="221"/>
      <c r="I345" s="221"/>
      <c r="J345" s="221"/>
      <c r="K345" s="221"/>
      <c r="L345" s="220"/>
      <c r="M345" s="222"/>
    </row>
    <row r="346" spans="1:13" ht="12" customHeight="1">
      <c r="A346" s="223"/>
      <c r="B346" s="219"/>
      <c r="C346" s="219"/>
      <c r="D346" s="219"/>
      <c r="E346" s="220"/>
      <c r="F346" s="220"/>
      <c r="G346" s="221"/>
      <c r="H346" s="221"/>
      <c r="I346" s="221"/>
      <c r="J346" s="221"/>
      <c r="K346" s="221"/>
      <c r="L346" s="220"/>
      <c r="M346" s="222"/>
    </row>
    <row r="347" spans="1:13" ht="12" customHeight="1">
      <c r="A347" s="223"/>
      <c r="B347" s="219"/>
      <c r="C347" s="219"/>
      <c r="D347" s="219"/>
      <c r="E347" s="220"/>
      <c r="F347" s="220"/>
      <c r="G347" s="221"/>
      <c r="H347" s="221"/>
      <c r="I347" s="221"/>
      <c r="J347" s="221"/>
      <c r="K347" s="221"/>
      <c r="L347" s="220"/>
      <c r="M347" s="222"/>
    </row>
    <row r="348" spans="1:13" ht="12" customHeight="1">
      <c r="A348" s="223"/>
      <c r="B348" s="219"/>
      <c r="C348" s="219"/>
      <c r="D348" s="219"/>
      <c r="E348" s="220"/>
      <c r="F348" s="220"/>
      <c r="G348" s="221"/>
      <c r="H348" s="221"/>
      <c r="I348" s="221"/>
      <c r="J348" s="221"/>
      <c r="K348" s="221"/>
      <c r="L348" s="220"/>
      <c r="M348" s="222"/>
    </row>
    <row r="349" spans="1:13" ht="12" customHeight="1">
      <c r="A349" s="223"/>
      <c r="B349" s="219"/>
      <c r="C349" s="219"/>
      <c r="D349" s="219"/>
      <c r="E349" s="220"/>
      <c r="F349" s="220"/>
      <c r="G349" s="221"/>
      <c r="H349" s="221"/>
      <c r="I349" s="221"/>
      <c r="J349" s="221"/>
      <c r="K349" s="221"/>
      <c r="L349" s="220"/>
      <c r="M349" s="222"/>
    </row>
    <row r="350" spans="1:13" ht="12" customHeight="1">
      <c r="A350" s="223"/>
      <c r="B350" s="219"/>
      <c r="C350" s="219"/>
      <c r="D350" s="219"/>
      <c r="E350" s="220"/>
      <c r="F350" s="220"/>
      <c r="G350" s="221"/>
      <c r="H350" s="221"/>
      <c r="I350" s="221"/>
      <c r="J350" s="221"/>
      <c r="K350" s="221"/>
      <c r="L350" s="220"/>
      <c r="M350" s="222"/>
    </row>
    <row r="351" spans="1:13" ht="12" customHeight="1">
      <c r="A351" s="223"/>
      <c r="B351" s="219"/>
      <c r="C351" s="219"/>
      <c r="D351" s="219"/>
      <c r="E351" s="220"/>
      <c r="F351" s="220"/>
      <c r="G351" s="221"/>
      <c r="H351" s="221"/>
      <c r="I351" s="221"/>
      <c r="J351" s="221"/>
      <c r="K351" s="221"/>
      <c r="L351" s="220"/>
      <c r="M351" s="222"/>
    </row>
    <row r="352" spans="1:13" ht="12" customHeight="1">
      <c r="A352" s="223"/>
      <c r="B352" s="219"/>
      <c r="C352" s="219"/>
      <c r="D352" s="219"/>
      <c r="E352" s="220"/>
      <c r="F352" s="220"/>
      <c r="G352" s="221"/>
      <c r="H352" s="221"/>
      <c r="I352" s="221"/>
      <c r="J352" s="221"/>
      <c r="K352" s="221"/>
      <c r="L352" s="220"/>
      <c r="M352" s="222"/>
    </row>
    <row r="353" spans="1:13" ht="12" customHeight="1">
      <c r="A353" s="223"/>
      <c r="B353" s="219"/>
      <c r="C353" s="219"/>
      <c r="D353" s="219"/>
      <c r="E353" s="220"/>
      <c r="F353" s="220"/>
      <c r="G353" s="221"/>
      <c r="H353" s="221"/>
      <c r="I353" s="221"/>
      <c r="J353" s="221"/>
      <c r="K353" s="221"/>
      <c r="L353" s="220"/>
      <c r="M353" s="222"/>
    </row>
    <row r="354" spans="1:13" ht="12" customHeight="1">
      <c r="A354" s="223"/>
      <c r="B354" s="219"/>
      <c r="C354" s="219"/>
      <c r="D354" s="219"/>
      <c r="E354" s="220"/>
      <c r="F354" s="220"/>
      <c r="G354" s="221"/>
      <c r="H354" s="221"/>
      <c r="I354" s="221"/>
      <c r="J354" s="221"/>
      <c r="K354" s="221"/>
      <c r="L354" s="220"/>
      <c r="M354" s="222"/>
    </row>
    <row r="355" spans="1:13" ht="12" customHeight="1">
      <c r="A355" s="223"/>
      <c r="B355" s="219"/>
      <c r="C355" s="219"/>
      <c r="D355" s="219"/>
      <c r="E355" s="220"/>
      <c r="F355" s="220"/>
      <c r="G355" s="221"/>
      <c r="H355" s="221"/>
      <c r="I355" s="221"/>
      <c r="J355" s="221"/>
      <c r="K355" s="221"/>
      <c r="L355" s="220"/>
      <c r="M355" s="222"/>
    </row>
    <row r="356" spans="1:13" ht="12" customHeight="1">
      <c r="A356" s="223"/>
      <c r="B356" s="219"/>
      <c r="C356" s="219"/>
      <c r="D356" s="219"/>
      <c r="E356" s="220"/>
      <c r="F356" s="220"/>
      <c r="G356" s="221"/>
      <c r="H356" s="221"/>
      <c r="I356" s="221"/>
      <c r="J356" s="221"/>
      <c r="K356" s="221"/>
      <c r="L356" s="220"/>
      <c r="M356" s="222"/>
    </row>
    <row r="357" spans="1:13" ht="12" customHeight="1">
      <c r="A357" s="223"/>
      <c r="B357" s="219"/>
      <c r="C357" s="219"/>
      <c r="D357" s="219"/>
      <c r="E357" s="220"/>
      <c r="F357" s="220"/>
      <c r="G357" s="221"/>
      <c r="H357" s="221"/>
      <c r="I357" s="221"/>
      <c r="J357" s="221"/>
      <c r="K357" s="221"/>
      <c r="L357" s="220"/>
      <c r="M357" s="222"/>
    </row>
    <row r="358" spans="1:13" ht="12" customHeight="1">
      <c r="A358" s="223"/>
      <c r="B358" s="219"/>
      <c r="C358" s="219"/>
      <c r="D358" s="219"/>
      <c r="E358" s="220"/>
      <c r="F358" s="220"/>
      <c r="G358" s="221"/>
      <c r="H358" s="221"/>
      <c r="I358" s="221"/>
      <c r="J358" s="221"/>
      <c r="K358" s="221"/>
      <c r="L358" s="220"/>
      <c r="M358" s="222"/>
    </row>
    <row r="359" spans="1:13" ht="12" customHeight="1">
      <c r="A359" s="223"/>
      <c r="B359" s="219"/>
      <c r="C359" s="219"/>
      <c r="D359" s="219"/>
      <c r="E359" s="220"/>
      <c r="F359" s="220"/>
      <c r="G359" s="221"/>
      <c r="H359" s="221"/>
      <c r="I359" s="221"/>
      <c r="J359" s="221"/>
      <c r="K359" s="221"/>
      <c r="L359" s="220"/>
      <c r="M359" s="222"/>
    </row>
    <row r="360" spans="1:13" ht="12" customHeight="1">
      <c r="A360" s="223"/>
      <c r="B360" s="219"/>
      <c r="C360" s="219"/>
      <c r="D360" s="219"/>
      <c r="E360" s="220"/>
      <c r="F360" s="220"/>
      <c r="G360" s="221"/>
      <c r="H360" s="221"/>
      <c r="I360" s="221"/>
      <c r="J360" s="221"/>
      <c r="K360" s="221"/>
      <c r="L360" s="220"/>
      <c r="M360" s="222"/>
    </row>
    <row r="361" spans="1:13" ht="12" customHeight="1">
      <c r="A361" s="223"/>
      <c r="B361" s="219"/>
      <c r="C361" s="219"/>
      <c r="D361" s="219"/>
      <c r="E361" s="220"/>
      <c r="F361" s="220"/>
      <c r="G361" s="221"/>
      <c r="H361" s="221"/>
      <c r="I361" s="221"/>
      <c r="J361" s="221"/>
      <c r="K361" s="221"/>
      <c r="L361" s="220"/>
      <c r="M361" s="222"/>
    </row>
    <row r="362" spans="1:13" ht="12" customHeight="1">
      <c r="A362" s="223"/>
      <c r="B362" s="219"/>
      <c r="C362" s="219"/>
      <c r="D362" s="219"/>
      <c r="E362" s="220"/>
      <c r="F362" s="220"/>
      <c r="G362" s="221"/>
      <c r="H362" s="221"/>
      <c r="I362" s="221"/>
      <c r="J362" s="221"/>
      <c r="K362" s="221"/>
      <c r="L362" s="220"/>
      <c r="M362" s="222"/>
    </row>
    <row r="363" spans="1:13" ht="12" customHeight="1">
      <c r="A363" s="223"/>
      <c r="B363" s="219"/>
      <c r="C363" s="219"/>
      <c r="D363" s="219"/>
      <c r="E363" s="220"/>
      <c r="F363" s="220"/>
      <c r="G363" s="221"/>
      <c r="H363" s="221"/>
      <c r="I363" s="221"/>
      <c r="J363" s="221"/>
      <c r="K363" s="221"/>
      <c r="L363" s="220"/>
      <c r="M363" s="222"/>
    </row>
    <row r="364" spans="1:13" ht="12" customHeight="1">
      <c r="A364" s="223"/>
      <c r="B364" s="219"/>
      <c r="C364" s="219"/>
      <c r="D364" s="219"/>
      <c r="E364" s="220"/>
      <c r="F364" s="220"/>
      <c r="G364" s="221"/>
      <c r="H364" s="221"/>
      <c r="I364" s="221"/>
      <c r="J364" s="221"/>
      <c r="K364" s="221"/>
      <c r="L364" s="220"/>
      <c r="M364" s="222"/>
    </row>
    <row r="365" spans="1:13" ht="12" customHeight="1">
      <c r="A365" s="223"/>
      <c r="B365" s="219"/>
      <c r="C365" s="219"/>
      <c r="D365" s="219"/>
      <c r="E365" s="220"/>
      <c r="F365" s="220"/>
      <c r="G365" s="221"/>
      <c r="H365" s="221"/>
      <c r="I365" s="221"/>
      <c r="J365" s="221"/>
      <c r="K365" s="221"/>
      <c r="L365" s="220"/>
      <c r="M365" s="222"/>
    </row>
    <row r="366" spans="1:13" ht="12" customHeight="1">
      <c r="A366" s="223"/>
      <c r="B366" s="219"/>
      <c r="C366" s="219"/>
      <c r="D366" s="219"/>
      <c r="E366" s="220"/>
      <c r="F366" s="220"/>
      <c r="G366" s="221"/>
      <c r="H366" s="221"/>
      <c r="I366" s="221"/>
      <c r="J366" s="221"/>
      <c r="K366" s="221"/>
      <c r="L366" s="220"/>
      <c r="M366" s="222"/>
    </row>
    <row r="367" spans="1:13" ht="12" customHeight="1">
      <c r="A367" s="223"/>
      <c r="B367" s="219"/>
      <c r="C367" s="219"/>
      <c r="D367" s="219"/>
      <c r="E367" s="220"/>
      <c r="F367" s="220"/>
      <c r="G367" s="221"/>
      <c r="H367" s="221"/>
      <c r="I367" s="221"/>
      <c r="J367" s="221"/>
      <c r="K367" s="221"/>
      <c r="L367" s="220"/>
      <c r="M367" s="222"/>
    </row>
    <row r="368" spans="1:13" ht="12" customHeight="1">
      <c r="A368" s="223"/>
      <c r="B368" s="219"/>
      <c r="C368" s="219"/>
      <c r="D368" s="219"/>
      <c r="E368" s="220"/>
      <c r="F368" s="220"/>
      <c r="G368" s="221"/>
      <c r="H368" s="221"/>
      <c r="I368" s="221"/>
      <c r="J368" s="221"/>
      <c r="K368" s="221"/>
      <c r="L368" s="220"/>
      <c r="M368" s="222"/>
    </row>
    <row r="369" spans="1:13" ht="12" customHeight="1">
      <c r="A369" s="223"/>
      <c r="B369" s="219"/>
      <c r="C369" s="219"/>
      <c r="D369" s="219"/>
      <c r="E369" s="220"/>
      <c r="F369" s="220"/>
      <c r="G369" s="221"/>
      <c r="H369" s="221"/>
      <c r="I369" s="221"/>
      <c r="J369" s="221"/>
      <c r="K369" s="221"/>
      <c r="L369" s="220"/>
      <c r="M369" s="222"/>
    </row>
    <row r="370" spans="1:13" ht="12" customHeight="1">
      <c r="A370" s="223"/>
      <c r="B370" s="219"/>
      <c r="C370" s="219"/>
      <c r="D370" s="219"/>
      <c r="E370" s="220"/>
      <c r="F370" s="220"/>
      <c r="G370" s="221"/>
      <c r="H370" s="221"/>
      <c r="I370" s="221"/>
      <c r="J370" s="221"/>
      <c r="K370" s="221"/>
      <c r="L370" s="220"/>
      <c r="M370" s="222"/>
    </row>
    <row r="371" spans="1:13" ht="12" customHeight="1">
      <c r="A371" s="223"/>
      <c r="B371" s="219"/>
      <c r="C371" s="219"/>
      <c r="D371" s="219"/>
      <c r="E371" s="220"/>
      <c r="F371" s="220"/>
      <c r="G371" s="221"/>
      <c r="H371" s="221"/>
      <c r="I371" s="221"/>
      <c r="J371" s="221"/>
      <c r="K371" s="221"/>
      <c r="L371" s="220"/>
      <c r="M371" s="222"/>
    </row>
    <row r="372" spans="1:13" ht="12" customHeight="1">
      <c r="A372" s="223"/>
      <c r="B372" s="219"/>
      <c r="C372" s="219"/>
      <c r="D372" s="219"/>
      <c r="E372" s="220"/>
      <c r="F372" s="220"/>
      <c r="G372" s="221"/>
      <c r="H372" s="221"/>
      <c r="I372" s="221"/>
      <c r="J372" s="221"/>
      <c r="K372" s="221"/>
      <c r="L372" s="220"/>
      <c r="M372" s="222"/>
    </row>
    <row r="373" spans="1:13" ht="12" customHeight="1">
      <c r="A373" s="223"/>
      <c r="B373" s="219"/>
      <c r="C373" s="219"/>
      <c r="D373" s="219"/>
      <c r="E373" s="220"/>
      <c r="F373" s="220"/>
      <c r="G373" s="221"/>
      <c r="H373" s="221"/>
      <c r="I373" s="221"/>
      <c r="J373" s="221"/>
      <c r="K373" s="221"/>
      <c r="L373" s="220"/>
      <c r="M373" s="222"/>
    </row>
    <row r="374" spans="1:13" ht="12" customHeight="1">
      <c r="A374" s="223"/>
      <c r="B374" s="219"/>
      <c r="C374" s="219"/>
      <c r="D374" s="219"/>
      <c r="E374" s="220"/>
      <c r="F374" s="220"/>
      <c r="G374" s="221"/>
      <c r="H374" s="221"/>
      <c r="I374" s="221"/>
      <c r="J374" s="221"/>
      <c r="K374" s="221"/>
      <c r="L374" s="220"/>
      <c r="M374" s="222"/>
    </row>
    <row r="375" spans="1:13" ht="12" customHeight="1">
      <c r="A375" s="223"/>
      <c r="B375" s="219"/>
      <c r="C375" s="219"/>
      <c r="D375" s="219"/>
      <c r="E375" s="220"/>
      <c r="F375" s="220"/>
      <c r="G375" s="221"/>
      <c r="H375" s="221"/>
      <c r="I375" s="221"/>
      <c r="J375" s="221"/>
      <c r="K375" s="221"/>
      <c r="L375" s="220"/>
      <c r="M375" s="222"/>
    </row>
    <row r="376" spans="1:13" ht="12" customHeight="1">
      <c r="A376" s="223"/>
      <c r="B376" s="219"/>
      <c r="C376" s="219"/>
      <c r="D376" s="219"/>
      <c r="E376" s="220"/>
      <c r="F376" s="220"/>
      <c r="G376" s="221"/>
      <c r="H376" s="221"/>
      <c r="I376" s="221"/>
      <c r="J376" s="221"/>
      <c r="K376" s="221"/>
      <c r="L376" s="220"/>
      <c r="M376" s="222"/>
    </row>
    <row r="377" spans="1:13" ht="12" customHeight="1">
      <c r="A377" s="223"/>
      <c r="B377" s="219"/>
      <c r="C377" s="219"/>
      <c r="D377" s="219"/>
      <c r="E377" s="220"/>
      <c r="F377" s="220"/>
      <c r="G377" s="221"/>
      <c r="H377" s="221"/>
      <c r="I377" s="221"/>
      <c r="J377" s="221"/>
      <c r="K377" s="221"/>
      <c r="L377" s="220"/>
      <c r="M377" s="222"/>
    </row>
    <row r="378" spans="1:13" ht="12" customHeight="1">
      <c r="A378" s="223"/>
      <c r="B378" s="219"/>
      <c r="C378" s="219"/>
      <c r="D378" s="219"/>
      <c r="E378" s="220"/>
      <c r="F378" s="220"/>
      <c r="G378" s="221"/>
      <c r="H378" s="221"/>
      <c r="I378" s="221"/>
      <c r="J378" s="221"/>
      <c r="K378" s="221"/>
      <c r="L378" s="220"/>
      <c r="M378" s="222"/>
    </row>
    <row r="379" spans="1:13" ht="12" customHeight="1">
      <c r="A379" s="223"/>
      <c r="B379" s="219"/>
      <c r="C379" s="219"/>
      <c r="D379" s="219"/>
      <c r="E379" s="220"/>
      <c r="F379" s="220"/>
      <c r="G379" s="221"/>
      <c r="H379" s="221"/>
      <c r="I379" s="221"/>
      <c r="J379" s="221"/>
      <c r="K379" s="221"/>
      <c r="L379" s="220"/>
      <c r="M379" s="222"/>
    </row>
    <row r="380" spans="1:13" ht="12" customHeight="1">
      <c r="A380" s="223"/>
      <c r="B380" s="219"/>
      <c r="C380" s="219"/>
      <c r="D380" s="219"/>
      <c r="E380" s="220"/>
      <c r="F380" s="220"/>
      <c r="G380" s="221"/>
      <c r="H380" s="221"/>
      <c r="I380" s="221"/>
      <c r="J380" s="221"/>
      <c r="K380" s="221"/>
      <c r="L380" s="220"/>
      <c r="M380" s="222"/>
    </row>
    <row r="381" spans="1:13" ht="12" customHeight="1">
      <c r="A381" s="223"/>
      <c r="B381" s="219"/>
      <c r="C381" s="219"/>
      <c r="D381" s="219"/>
      <c r="E381" s="220"/>
      <c r="F381" s="220"/>
      <c r="G381" s="221"/>
      <c r="H381" s="221"/>
      <c r="I381" s="221"/>
      <c r="J381" s="221"/>
      <c r="K381" s="221"/>
      <c r="L381" s="220"/>
      <c r="M381" s="222"/>
    </row>
    <row r="382" spans="1:13" ht="12" customHeight="1">
      <c r="A382" s="223"/>
      <c r="B382" s="219"/>
      <c r="C382" s="219"/>
      <c r="D382" s="219"/>
      <c r="E382" s="220"/>
      <c r="F382" s="220"/>
      <c r="G382" s="221"/>
      <c r="H382" s="221"/>
      <c r="I382" s="221"/>
      <c r="J382" s="221"/>
      <c r="K382" s="221"/>
      <c r="L382" s="220"/>
      <c r="M382" s="222"/>
    </row>
    <row r="383" spans="1:13" ht="12" customHeight="1">
      <c r="A383" s="223"/>
      <c r="B383" s="219"/>
      <c r="C383" s="219"/>
      <c r="D383" s="219"/>
      <c r="E383" s="220"/>
      <c r="F383" s="220"/>
      <c r="G383" s="221"/>
      <c r="H383" s="221"/>
      <c r="I383" s="221"/>
      <c r="J383" s="221"/>
      <c r="K383" s="221"/>
      <c r="L383" s="220"/>
      <c r="M383" s="222"/>
    </row>
    <row r="384" spans="1:13" ht="12" customHeight="1">
      <c r="A384" s="223"/>
      <c r="B384" s="219"/>
      <c r="C384" s="219"/>
      <c r="D384" s="219"/>
      <c r="E384" s="220"/>
      <c r="F384" s="220"/>
      <c r="G384" s="221"/>
      <c r="H384" s="221"/>
      <c r="I384" s="221"/>
      <c r="J384" s="221"/>
      <c r="K384" s="221"/>
      <c r="L384" s="220"/>
      <c r="M384" s="222"/>
    </row>
    <row r="385" spans="1:13" ht="12" customHeight="1">
      <c r="A385" s="223"/>
      <c r="B385" s="219"/>
      <c r="C385" s="219"/>
      <c r="D385" s="219"/>
      <c r="E385" s="220"/>
      <c r="F385" s="220"/>
      <c r="G385" s="221"/>
      <c r="H385" s="221"/>
      <c r="I385" s="221"/>
      <c r="J385" s="221"/>
      <c r="K385" s="221"/>
      <c r="L385" s="220"/>
      <c r="M385" s="222"/>
    </row>
    <row r="386" spans="1:13" ht="12" customHeight="1">
      <c r="A386" s="223"/>
      <c r="B386" s="219"/>
      <c r="C386" s="219"/>
      <c r="D386" s="219"/>
      <c r="E386" s="220"/>
      <c r="F386" s="220"/>
      <c r="G386" s="221"/>
      <c r="H386" s="221"/>
      <c r="I386" s="221"/>
      <c r="J386" s="221"/>
      <c r="K386" s="221"/>
      <c r="L386" s="220"/>
      <c r="M386" s="222"/>
    </row>
    <row r="387" spans="1:13" ht="12" customHeight="1">
      <c r="A387" s="223"/>
      <c r="B387" s="219"/>
      <c r="C387" s="219"/>
      <c r="D387" s="219"/>
      <c r="E387" s="220"/>
      <c r="F387" s="220"/>
      <c r="G387" s="221"/>
      <c r="H387" s="221"/>
      <c r="I387" s="221"/>
      <c r="J387" s="221"/>
      <c r="K387" s="221"/>
      <c r="L387" s="220"/>
      <c r="M387" s="222"/>
    </row>
    <row r="388" spans="1:13" ht="12" customHeight="1">
      <c r="A388" s="223"/>
      <c r="B388" s="219"/>
      <c r="C388" s="219"/>
      <c r="D388" s="219"/>
      <c r="E388" s="220"/>
      <c r="F388" s="220"/>
      <c r="G388" s="221"/>
      <c r="H388" s="221"/>
      <c r="I388" s="221"/>
      <c r="J388" s="221"/>
      <c r="K388" s="221"/>
      <c r="L388" s="220"/>
      <c r="M388" s="222"/>
    </row>
    <row r="389" spans="1:13" ht="12" customHeight="1">
      <c r="A389" s="223"/>
      <c r="B389" s="219"/>
      <c r="C389" s="219"/>
      <c r="D389" s="219"/>
      <c r="E389" s="220"/>
      <c r="F389" s="220"/>
      <c r="G389" s="221"/>
      <c r="H389" s="221"/>
      <c r="I389" s="221"/>
      <c r="J389" s="221"/>
      <c r="K389" s="221"/>
      <c r="L389" s="220"/>
      <c r="M389" s="222"/>
    </row>
    <row r="390" spans="1:13" ht="12" customHeight="1">
      <c r="A390" s="223"/>
      <c r="B390" s="219"/>
      <c r="C390" s="219"/>
      <c r="D390" s="219"/>
      <c r="E390" s="220"/>
      <c r="F390" s="220"/>
      <c r="G390" s="221"/>
      <c r="H390" s="221"/>
      <c r="I390" s="221"/>
      <c r="J390" s="221"/>
      <c r="K390" s="221"/>
      <c r="L390" s="220"/>
      <c r="M390" s="222"/>
    </row>
    <row r="391" spans="1:13" ht="12" customHeight="1">
      <c r="A391" s="223"/>
      <c r="B391" s="219"/>
      <c r="C391" s="219"/>
      <c r="D391" s="219"/>
      <c r="E391" s="220"/>
      <c r="F391" s="220"/>
      <c r="G391" s="221"/>
      <c r="H391" s="221"/>
      <c r="I391" s="221"/>
      <c r="J391" s="221"/>
      <c r="K391" s="221"/>
      <c r="L391" s="220"/>
      <c r="M391" s="222"/>
    </row>
    <row r="392" spans="1:13" ht="12" customHeight="1">
      <c r="A392" s="223"/>
      <c r="B392" s="219"/>
      <c r="C392" s="219"/>
      <c r="D392" s="219"/>
      <c r="E392" s="220"/>
      <c r="F392" s="220"/>
      <c r="G392" s="221"/>
      <c r="H392" s="221"/>
      <c r="I392" s="221"/>
      <c r="J392" s="221"/>
      <c r="K392" s="221"/>
      <c r="L392" s="220"/>
      <c r="M392" s="222"/>
    </row>
    <row r="393" spans="1:13" ht="12" customHeight="1">
      <c r="A393" s="223"/>
      <c r="B393" s="219"/>
      <c r="C393" s="219"/>
      <c r="D393" s="219"/>
      <c r="E393" s="220"/>
      <c r="F393" s="220"/>
      <c r="G393" s="221"/>
      <c r="H393" s="221"/>
      <c r="I393" s="221"/>
      <c r="J393" s="221"/>
      <c r="K393" s="221"/>
      <c r="L393" s="220"/>
      <c r="M393" s="222"/>
    </row>
    <row r="394" spans="1:13" ht="12" customHeight="1">
      <c r="A394" s="223"/>
      <c r="B394" s="219"/>
      <c r="C394" s="219"/>
      <c r="D394" s="219"/>
      <c r="E394" s="220"/>
      <c r="F394" s="220"/>
      <c r="G394" s="221"/>
      <c r="H394" s="221"/>
      <c r="I394" s="221"/>
      <c r="J394" s="221"/>
      <c r="K394" s="221"/>
      <c r="L394" s="220"/>
      <c r="M394" s="222"/>
    </row>
    <row r="395" spans="1:13" ht="12" customHeight="1">
      <c r="A395" s="223"/>
      <c r="B395" s="219"/>
      <c r="C395" s="219"/>
      <c r="D395" s="219"/>
      <c r="E395" s="220"/>
      <c r="F395" s="220"/>
      <c r="G395" s="221"/>
      <c r="H395" s="221"/>
      <c r="I395" s="221"/>
      <c r="J395" s="221"/>
      <c r="K395" s="221"/>
      <c r="L395" s="220"/>
      <c r="M395" s="222"/>
    </row>
    <row r="396" spans="1:13" ht="12" customHeight="1">
      <c r="A396" s="223"/>
      <c r="B396" s="219"/>
      <c r="C396" s="219"/>
      <c r="D396" s="219"/>
      <c r="E396" s="220"/>
      <c r="F396" s="220"/>
      <c r="G396" s="221"/>
      <c r="H396" s="221"/>
      <c r="I396" s="221"/>
      <c r="J396" s="221"/>
      <c r="K396" s="221"/>
      <c r="L396" s="220"/>
      <c r="M396" s="222"/>
    </row>
    <row r="397" spans="1:13" ht="12" customHeight="1">
      <c r="A397" s="223"/>
      <c r="B397" s="219"/>
      <c r="C397" s="219"/>
      <c r="D397" s="219"/>
      <c r="E397" s="220"/>
      <c r="F397" s="220"/>
      <c r="G397" s="221"/>
      <c r="H397" s="221"/>
      <c r="I397" s="221"/>
      <c r="J397" s="221"/>
      <c r="K397" s="221"/>
      <c r="L397" s="220"/>
      <c r="M397" s="222"/>
    </row>
    <row r="398" spans="1:13" ht="12" customHeight="1">
      <c r="A398" s="223"/>
      <c r="B398" s="219"/>
      <c r="C398" s="219"/>
      <c r="D398" s="219"/>
      <c r="E398" s="220"/>
      <c r="F398" s="220"/>
      <c r="G398" s="221"/>
      <c r="H398" s="221"/>
      <c r="I398" s="221"/>
      <c r="J398" s="221"/>
      <c r="K398" s="221"/>
      <c r="L398" s="220"/>
      <c r="M398" s="222"/>
    </row>
    <row r="399" spans="1:13" ht="12" customHeight="1">
      <c r="A399" s="223"/>
      <c r="B399" s="219"/>
      <c r="C399" s="219"/>
      <c r="D399" s="219"/>
      <c r="E399" s="220"/>
      <c r="F399" s="220"/>
      <c r="G399" s="221"/>
      <c r="H399" s="221"/>
      <c r="I399" s="221"/>
      <c r="J399" s="221"/>
      <c r="K399" s="221"/>
      <c r="L399" s="220"/>
      <c r="M399" s="222"/>
    </row>
    <row r="400" spans="1:13" ht="12" customHeight="1">
      <c r="A400" s="223"/>
      <c r="B400" s="219"/>
      <c r="C400" s="219"/>
      <c r="D400" s="219"/>
      <c r="E400" s="220"/>
      <c r="F400" s="220"/>
      <c r="G400" s="221"/>
      <c r="H400" s="221"/>
      <c r="I400" s="221"/>
      <c r="J400" s="221"/>
      <c r="K400" s="221"/>
      <c r="L400" s="220"/>
      <c r="M400" s="222"/>
    </row>
    <row r="401" spans="1:13" ht="12" customHeight="1">
      <c r="A401" s="223"/>
      <c r="B401" s="219"/>
      <c r="C401" s="219"/>
      <c r="D401" s="219"/>
      <c r="E401" s="220"/>
      <c r="F401" s="220"/>
      <c r="G401" s="221"/>
      <c r="H401" s="221"/>
      <c r="I401" s="221"/>
      <c r="J401" s="221"/>
      <c r="K401" s="221"/>
      <c r="L401" s="220"/>
      <c r="M401" s="222"/>
    </row>
    <row r="402" spans="1:13" ht="12" customHeight="1">
      <c r="A402" s="223"/>
      <c r="B402" s="219"/>
      <c r="C402" s="219"/>
      <c r="D402" s="219"/>
      <c r="E402" s="220"/>
      <c r="F402" s="220"/>
      <c r="G402" s="221"/>
      <c r="H402" s="221"/>
      <c r="I402" s="221"/>
      <c r="J402" s="221"/>
      <c r="K402" s="221"/>
      <c r="L402" s="220"/>
      <c r="M402" s="222"/>
    </row>
    <row r="403" spans="1:13" ht="12" customHeight="1">
      <c r="A403" s="223"/>
      <c r="B403" s="219"/>
      <c r="C403" s="219"/>
      <c r="D403" s="219"/>
      <c r="E403" s="220"/>
      <c r="F403" s="220"/>
      <c r="G403" s="221"/>
      <c r="H403" s="221"/>
      <c r="I403" s="221"/>
      <c r="J403" s="221"/>
      <c r="K403" s="221"/>
      <c r="L403" s="220"/>
      <c r="M403" s="222"/>
    </row>
    <row r="404" spans="1:13" ht="12" customHeight="1">
      <c r="A404" s="223"/>
      <c r="B404" s="219"/>
      <c r="C404" s="219"/>
      <c r="D404" s="219"/>
      <c r="E404" s="220"/>
      <c r="F404" s="220"/>
      <c r="G404" s="221"/>
      <c r="H404" s="221"/>
      <c r="I404" s="221"/>
      <c r="J404" s="221"/>
      <c r="K404" s="221"/>
      <c r="L404" s="220"/>
      <c r="M404" s="222"/>
    </row>
    <row r="405" spans="1:13" ht="12" customHeight="1">
      <c r="A405" s="223"/>
      <c r="B405" s="219"/>
      <c r="C405" s="219"/>
      <c r="D405" s="219"/>
      <c r="E405" s="220"/>
      <c r="F405" s="220"/>
      <c r="G405" s="221"/>
      <c r="H405" s="221"/>
      <c r="I405" s="221"/>
      <c r="J405" s="221"/>
      <c r="K405" s="221"/>
      <c r="L405" s="220"/>
      <c r="M405" s="222"/>
    </row>
    <row r="406" spans="1:13" ht="12" customHeight="1">
      <c r="A406" s="223"/>
      <c r="B406" s="219"/>
      <c r="C406" s="219"/>
      <c r="D406" s="219"/>
      <c r="E406" s="220"/>
      <c r="F406" s="220"/>
      <c r="G406" s="221"/>
      <c r="H406" s="221"/>
      <c r="I406" s="221"/>
      <c r="J406" s="221"/>
      <c r="K406" s="221"/>
      <c r="L406" s="220"/>
      <c r="M406" s="222"/>
    </row>
    <row r="407" spans="1:13" ht="12" customHeight="1">
      <c r="A407" s="223"/>
      <c r="B407" s="219"/>
      <c r="C407" s="219"/>
      <c r="D407" s="219"/>
      <c r="E407" s="220"/>
      <c r="F407" s="220"/>
      <c r="G407" s="221"/>
      <c r="H407" s="221"/>
      <c r="I407" s="221"/>
      <c r="J407" s="221"/>
      <c r="K407" s="221"/>
      <c r="L407" s="220"/>
      <c r="M407" s="222"/>
    </row>
    <row r="408" spans="1:13" ht="12" customHeight="1">
      <c r="A408" s="223"/>
      <c r="B408" s="219"/>
      <c r="C408" s="219"/>
      <c r="D408" s="219"/>
      <c r="E408" s="220"/>
      <c r="F408" s="220"/>
      <c r="G408" s="221"/>
      <c r="H408" s="221"/>
      <c r="I408" s="221"/>
      <c r="J408" s="221"/>
      <c r="K408" s="221"/>
      <c r="L408" s="220"/>
      <c r="M408" s="222"/>
    </row>
    <row r="409" spans="1:13" ht="12" customHeight="1">
      <c r="A409" s="223"/>
      <c r="B409" s="219"/>
      <c r="C409" s="219"/>
      <c r="D409" s="219"/>
      <c r="E409" s="220"/>
      <c r="F409" s="220"/>
      <c r="G409" s="221"/>
      <c r="H409" s="221"/>
      <c r="I409" s="221"/>
      <c r="J409" s="221"/>
      <c r="K409" s="221"/>
      <c r="L409" s="220"/>
      <c r="M409" s="222"/>
    </row>
    <row r="410" spans="1:13" ht="12" customHeight="1">
      <c r="A410" s="223"/>
      <c r="B410" s="219"/>
      <c r="C410" s="219"/>
      <c r="D410" s="219"/>
      <c r="E410" s="220"/>
      <c r="F410" s="220"/>
      <c r="G410" s="221"/>
      <c r="H410" s="221"/>
      <c r="I410" s="221"/>
      <c r="J410" s="221"/>
      <c r="K410" s="221"/>
      <c r="L410" s="220"/>
      <c r="M410" s="222"/>
    </row>
    <row r="411" spans="1:13" ht="12" customHeight="1">
      <c r="A411" s="223"/>
      <c r="B411" s="219"/>
      <c r="C411" s="219"/>
      <c r="D411" s="219"/>
      <c r="E411" s="220"/>
      <c r="F411" s="220"/>
      <c r="G411" s="221"/>
      <c r="H411" s="221"/>
      <c r="I411" s="221"/>
      <c r="J411" s="221"/>
      <c r="K411" s="221"/>
      <c r="L411" s="220"/>
      <c r="M411" s="222"/>
    </row>
    <row r="412" spans="1:13" ht="12" customHeight="1">
      <c r="A412" s="223"/>
      <c r="B412" s="219"/>
      <c r="C412" s="219"/>
      <c r="D412" s="219"/>
      <c r="E412" s="220"/>
      <c r="F412" s="220"/>
      <c r="G412" s="221"/>
      <c r="H412" s="221"/>
      <c r="I412" s="221"/>
      <c r="J412" s="221"/>
      <c r="K412" s="221"/>
      <c r="L412" s="220"/>
      <c r="M412" s="222"/>
    </row>
    <row r="413" spans="1:13" ht="12" customHeight="1">
      <c r="A413" s="223"/>
      <c r="B413" s="219"/>
      <c r="C413" s="219"/>
      <c r="D413" s="219"/>
      <c r="E413" s="220"/>
      <c r="F413" s="220"/>
      <c r="G413" s="221"/>
      <c r="H413" s="221"/>
      <c r="I413" s="221"/>
      <c r="J413" s="221"/>
      <c r="K413" s="221"/>
      <c r="L413" s="220"/>
      <c r="M413" s="222"/>
    </row>
    <row r="414" spans="1:13" ht="12" customHeight="1">
      <c r="A414" s="223"/>
      <c r="B414" s="219"/>
      <c r="C414" s="219"/>
      <c r="D414" s="219"/>
      <c r="E414" s="220"/>
      <c r="F414" s="220"/>
      <c r="G414" s="221"/>
      <c r="H414" s="221"/>
      <c r="I414" s="221"/>
      <c r="J414" s="221"/>
      <c r="K414" s="221"/>
      <c r="L414" s="220"/>
      <c r="M414" s="222"/>
    </row>
    <row r="415" spans="1:13" ht="12" customHeight="1">
      <c r="A415" s="223"/>
      <c r="B415" s="219"/>
      <c r="C415" s="219"/>
      <c r="D415" s="219"/>
      <c r="E415" s="220"/>
      <c r="F415" s="220"/>
      <c r="G415" s="221"/>
      <c r="H415" s="221"/>
      <c r="I415" s="221"/>
      <c r="J415" s="221"/>
      <c r="K415" s="221"/>
      <c r="L415" s="220"/>
      <c r="M415" s="222"/>
    </row>
    <row r="416" spans="1:13" ht="12" customHeight="1">
      <c r="A416" s="223"/>
      <c r="B416" s="219"/>
      <c r="C416" s="219"/>
      <c r="D416" s="219"/>
      <c r="E416" s="220"/>
      <c r="F416" s="220"/>
      <c r="G416" s="221"/>
      <c r="H416" s="221"/>
      <c r="I416" s="221"/>
      <c r="J416" s="221"/>
      <c r="K416" s="221"/>
      <c r="L416" s="220"/>
      <c r="M416" s="222"/>
    </row>
    <row r="417" spans="1:13" ht="12" customHeight="1">
      <c r="A417" s="223"/>
      <c r="B417" s="219"/>
      <c r="C417" s="219"/>
      <c r="D417" s="219"/>
      <c r="E417" s="220"/>
      <c r="F417" s="220"/>
      <c r="G417" s="221"/>
      <c r="H417" s="221"/>
      <c r="I417" s="221"/>
      <c r="J417" s="221"/>
      <c r="K417" s="221"/>
      <c r="L417" s="220"/>
      <c r="M417" s="222"/>
    </row>
    <row r="418" spans="1:13" ht="12" customHeight="1">
      <c r="A418" s="223"/>
      <c r="B418" s="219"/>
      <c r="C418" s="219"/>
      <c r="D418" s="219"/>
      <c r="E418" s="220"/>
      <c r="F418" s="220"/>
      <c r="G418" s="221"/>
      <c r="H418" s="221"/>
      <c r="I418" s="221"/>
      <c r="J418" s="221"/>
      <c r="K418" s="221"/>
      <c r="L418" s="220"/>
      <c r="M418" s="222"/>
    </row>
    <row r="419" spans="1:13" ht="12" customHeight="1">
      <c r="A419" s="223"/>
      <c r="B419" s="219"/>
      <c r="C419" s="219"/>
      <c r="D419" s="219"/>
      <c r="E419" s="220"/>
      <c r="F419" s="220"/>
      <c r="G419" s="221"/>
      <c r="H419" s="221"/>
      <c r="I419" s="221"/>
      <c r="J419" s="221"/>
      <c r="K419" s="221"/>
      <c r="L419" s="220"/>
      <c r="M419" s="222"/>
    </row>
    <row r="420" spans="1:13" ht="12" customHeight="1">
      <c r="A420" s="223"/>
      <c r="B420" s="219"/>
      <c r="C420" s="219"/>
      <c r="D420" s="219"/>
      <c r="E420" s="220"/>
      <c r="F420" s="220"/>
      <c r="G420" s="221"/>
      <c r="H420" s="221"/>
      <c r="I420" s="221"/>
      <c r="J420" s="221"/>
      <c r="K420" s="221"/>
      <c r="L420" s="220"/>
      <c r="M420" s="222"/>
    </row>
    <row r="421" spans="1:13" ht="12" customHeight="1">
      <c r="A421" s="223"/>
      <c r="B421" s="219"/>
      <c r="C421" s="219"/>
      <c r="D421" s="219"/>
      <c r="E421" s="220"/>
      <c r="F421" s="220"/>
      <c r="G421" s="221"/>
      <c r="H421" s="221"/>
      <c r="I421" s="221"/>
      <c r="J421" s="221"/>
      <c r="K421" s="221"/>
      <c r="L421" s="220"/>
      <c r="M421" s="222"/>
    </row>
    <row r="422" spans="1:13" ht="12" customHeight="1">
      <c r="A422" s="223"/>
      <c r="B422" s="219"/>
      <c r="C422" s="219"/>
      <c r="D422" s="219"/>
      <c r="E422" s="220"/>
      <c r="F422" s="220"/>
      <c r="G422" s="221"/>
      <c r="H422" s="221"/>
      <c r="I422" s="221"/>
      <c r="J422" s="221"/>
      <c r="K422" s="221"/>
      <c r="L422" s="220"/>
      <c r="M422" s="222"/>
    </row>
    <row r="423" spans="1:13" ht="12" customHeight="1">
      <c r="A423" s="223"/>
      <c r="B423" s="219"/>
      <c r="C423" s="219"/>
      <c r="D423" s="219"/>
      <c r="E423" s="220"/>
      <c r="F423" s="220"/>
      <c r="G423" s="221"/>
      <c r="H423" s="221"/>
      <c r="I423" s="221"/>
      <c r="J423" s="221"/>
      <c r="K423" s="221"/>
      <c r="L423" s="220"/>
      <c r="M423" s="222"/>
    </row>
    <row r="424" spans="1:13" ht="12" customHeight="1">
      <c r="A424" s="223"/>
      <c r="B424" s="219"/>
      <c r="C424" s="219"/>
      <c r="D424" s="219"/>
      <c r="E424" s="220"/>
      <c r="F424" s="220"/>
      <c r="G424" s="221"/>
      <c r="H424" s="221"/>
      <c r="I424" s="221"/>
      <c r="J424" s="221"/>
      <c r="K424" s="221"/>
      <c r="L424" s="220"/>
      <c r="M424" s="222"/>
    </row>
    <row r="425" spans="1:13" ht="12" customHeight="1">
      <c r="A425" s="223"/>
      <c r="B425" s="219"/>
      <c r="C425" s="219"/>
      <c r="D425" s="219"/>
      <c r="E425" s="220"/>
      <c r="F425" s="220"/>
      <c r="G425" s="221"/>
      <c r="H425" s="221"/>
      <c r="I425" s="221"/>
      <c r="J425" s="221"/>
      <c r="K425" s="221"/>
      <c r="L425" s="220"/>
      <c r="M425" s="222"/>
    </row>
    <row r="426" spans="1:13" ht="12" customHeight="1">
      <c r="A426" s="223"/>
      <c r="B426" s="219"/>
      <c r="C426" s="219"/>
      <c r="D426" s="219"/>
      <c r="E426" s="220"/>
      <c r="F426" s="220"/>
      <c r="G426" s="221"/>
      <c r="H426" s="221"/>
      <c r="I426" s="221"/>
      <c r="J426" s="221"/>
      <c r="K426" s="221"/>
      <c r="L426" s="220"/>
      <c r="M426" s="222"/>
    </row>
    <row r="427" spans="1:13" ht="12" customHeight="1">
      <c r="A427" s="223"/>
      <c r="B427" s="219"/>
      <c r="C427" s="219"/>
      <c r="D427" s="219"/>
      <c r="E427" s="220"/>
      <c r="F427" s="220"/>
      <c r="G427" s="221"/>
      <c r="H427" s="221"/>
      <c r="I427" s="221"/>
      <c r="J427" s="221"/>
      <c r="K427" s="221"/>
      <c r="L427" s="220"/>
      <c r="M427" s="222"/>
    </row>
    <row r="428" spans="1:13" ht="12" customHeight="1">
      <c r="A428" s="223"/>
      <c r="B428" s="219"/>
      <c r="C428" s="219"/>
      <c r="D428" s="219"/>
      <c r="E428" s="220"/>
      <c r="F428" s="220"/>
      <c r="G428" s="221"/>
      <c r="H428" s="221"/>
      <c r="I428" s="221"/>
      <c r="J428" s="221"/>
      <c r="K428" s="221"/>
      <c r="L428" s="220"/>
      <c r="M428" s="222"/>
    </row>
    <row r="429" spans="1:13" ht="12" customHeight="1">
      <c r="A429" s="223"/>
      <c r="B429" s="219"/>
      <c r="C429" s="219"/>
      <c r="D429" s="219"/>
      <c r="E429" s="220"/>
      <c r="F429" s="220"/>
      <c r="G429" s="221"/>
      <c r="H429" s="221"/>
      <c r="I429" s="221"/>
      <c r="J429" s="221"/>
      <c r="K429" s="221"/>
      <c r="L429" s="220"/>
      <c r="M429" s="222"/>
    </row>
    <row r="430" spans="1:13" ht="12" customHeight="1">
      <c r="A430" s="223"/>
      <c r="B430" s="219"/>
      <c r="C430" s="219"/>
      <c r="D430" s="219"/>
      <c r="E430" s="220"/>
      <c r="F430" s="220"/>
      <c r="G430" s="221"/>
      <c r="H430" s="221"/>
      <c r="I430" s="221"/>
      <c r="J430" s="221"/>
      <c r="K430" s="221"/>
      <c r="L430" s="220"/>
      <c r="M430" s="222"/>
    </row>
    <row r="431" spans="1:13" ht="12" customHeight="1">
      <c r="A431" s="223"/>
      <c r="B431" s="219"/>
      <c r="C431" s="219"/>
      <c r="D431" s="219"/>
      <c r="E431" s="220"/>
      <c r="F431" s="220"/>
      <c r="G431" s="221"/>
      <c r="H431" s="221"/>
      <c r="I431" s="221"/>
      <c r="J431" s="221"/>
      <c r="K431" s="221"/>
      <c r="L431" s="220"/>
      <c r="M431" s="222"/>
    </row>
    <row r="432" spans="1:13" ht="12" customHeight="1">
      <c r="A432" s="223"/>
      <c r="B432" s="219"/>
      <c r="C432" s="219"/>
      <c r="D432" s="219"/>
      <c r="E432" s="220"/>
      <c r="F432" s="220"/>
      <c r="G432" s="221"/>
      <c r="H432" s="221"/>
      <c r="I432" s="221"/>
      <c r="J432" s="221"/>
      <c r="K432" s="221"/>
      <c r="L432" s="220"/>
      <c r="M432" s="222"/>
    </row>
    <row r="433" spans="1:13" ht="12" customHeight="1">
      <c r="A433" s="223"/>
      <c r="B433" s="219"/>
      <c r="C433" s="219"/>
      <c r="D433" s="219"/>
      <c r="E433" s="220"/>
      <c r="F433" s="220"/>
      <c r="G433" s="221"/>
      <c r="H433" s="221"/>
      <c r="I433" s="221"/>
      <c r="J433" s="221"/>
      <c r="K433" s="221"/>
      <c r="L433" s="220"/>
      <c r="M433" s="222"/>
    </row>
    <row r="434" spans="1:13" ht="12" customHeight="1">
      <c r="A434" s="223"/>
      <c r="B434" s="219"/>
      <c r="C434" s="219"/>
      <c r="D434" s="219"/>
      <c r="E434" s="220"/>
      <c r="F434" s="220"/>
      <c r="G434" s="221"/>
      <c r="H434" s="221"/>
      <c r="I434" s="221"/>
      <c r="J434" s="221"/>
      <c r="K434" s="221"/>
      <c r="L434" s="220"/>
      <c r="M434" s="222"/>
    </row>
    <row r="435" spans="1:13" ht="12" customHeight="1">
      <c r="A435" s="223"/>
      <c r="B435" s="219"/>
      <c r="C435" s="219"/>
      <c r="D435" s="219"/>
      <c r="E435" s="220"/>
      <c r="F435" s="220"/>
      <c r="G435" s="221"/>
      <c r="H435" s="221"/>
      <c r="I435" s="221"/>
      <c r="J435" s="221"/>
      <c r="K435" s="221"/>
      <c r="L435" s="220"/>
      <c r="M435" s="222"/>
    </row>
    <row r="436" spans="1:13" ht="12" customHeight="1">
      <c r="A436" s="223"/>
      <c r="B436" s="219"/>
      <c r="C436" s="219"/>
      <c r="D436" s="219"/>
      <c r="E436" s="220"/>
      <c r="F436" s="220"/>
      <c r="G436" s="221"/>
      <c r="H436" s="221"/>
      <c r="I436" s="221"/>
      <c r="J436" s="221"/>
      <c r="K436" s="221"/>
      <c r="L436" s="220"/>
      <c r="M436" s="222"/>
    </row>
    <row r="437" spans="1:13" ht="12" customHeight="1">
      <c r="A437" s="223"/>
      <c r="B437" s="219"/>
      <c r="C437" s="219"/>
      <c r="D437" s="219"/>
      <c r="E437" s="220"/>
      <c r="F437" s="220"/>
      <c r="G437" s="221"/>
      <c r="H437" s="221"/>
      <c r="I437" s="221"/>
      <c r="J437" s="221"/>
      <c r="K437" s="221"/>
      <c r="L437" s="220"/>
      <c r="M437" s="222"/>
    </row>
    <row r="438" spans="1:13" ht="12" customHeight="1">
      <c r="A438" s="223"/>
      <c r="B438" s="219"/>
      <c r="C438" s="219"/>
      <c r="D438" s="219"/>
      <c r="E438" s="220"/>
      <c r="F438" s="220"/>
      <c r="G438" s="221"/>
      <c r="H438" s="221"/>
      <c r="I438" s="221"/>
      <c r="J438" s="221"/>
      <c r="K438" s="221"/>
      <c r="L438" s="220"/>
      <c r="M438" s="222"/>
    </row>
    <row r="439" spans="1:13" ht="12" customHeight="1">
      <c r="A439" s="223"/>
      <c r="B439" s="219"/>
      <c r="C439" s="219"/>
      <c r="D439" s="219"/>
      <c r="E439" s="220"/>
      <c r="F439" s="220"/>
      <c r="G439" s="221"/>
      <c r="H439" s="221"/>
      <c r="I439" s="221"/>
      <c r="J439" s="221"/>
      <c r="K439" s="221"/>
      <c r="L439" s="220"/>
      <c r="M439" s="222"/>
    </row>
    <row r="440" spans="1:13" ht="12" customHeight="1">
      <c r="A440" s="223"/>
      <c r="B440" s="219"/>
      <c r="C440" s="219"/>
      <c r="D440" s="219"/>
      <c r="E440" s="220"/>
      <c r="F440" s="220"/>
      <c r="G440" s="221"/>
      <c r="H440" s="221"/>
      <c r="I440" s="221"/>
      <c r="J440" s="221"/>
      <c r="K440" s="221"/>
      <c r="L440" s="220"/>
      <c r="M440" s="222"/>
    </row>
    <row r="441" spans="1:13" ht="12" customHeight="1">
      <c r="A441" s="223"/>
      <c r="B441" s="219"/>
      <c r="C441" s="219"/>
      <c r="D441" s="219"/>
      <c r="E441" s="220"/>
      <c r="F441" s="220"/>
      <c r="G441" s="221"/>
      <c r="H441" s="221"/>
      <c r="I441" s="221"/>
      <c r="J441" s="221"/>
      <c r="K441" s="221"/>
      <c r="L441" s="220"/>
      <c r="M441" s="222"/>
    </row>
    <row r="442" spans="1:13" ht="12" customHeight="1">
      <c r="A442" s="223"/>
      <c r="B442" s="219"/>
      <c r="C442" s="219"/>
      <c r="D442" s="219"/>
      <c r="E442" s="220"/>
      <c r="F442" s="220"/>
      <c r="G442" s="221"/>
      <c r="H442" s="221"/>
      <c r="I442" s="221"/>
      <c r="J442" s="221"/>
      <c r="K442" s="221"/>
      <c r="L442" s="220"/>
      <c r="M442" s="222"/>
    </row>
    <row r="443" spans="1:13" ht="12" customHeight="1">
      <c r="A443" s="223"/>
      <c r="B443" s="219"/>
      <c r="C443" s="219"/>
      <c r="D443" s="219"/>
      <c r="E443" s="220"/>
      <c r="F443" s="220"/>
      <c r="G443" s="221"/>
      <c r="H443" s="221"/>
      <c r="I443" s="221"/>
      <c r="J443" s="221"/>
      <c r="K443" s="221"/>
      <c r="L443" s="220"/>
      <c r="M443" s="222"/>
    </row>
    <row r="444" spans="1:13" ht="12" customHeight="1">
      <c r="A444" s="223"/>
      <c r="B444" s="219"/>
      <c r="C444" s="219"/>
      <c r="D444" s="219"/>
      <c r="E444" s="220"/>
      <c r="F444" s="220"/>
      <c r="G444" s="221"/>
      <c r="H444" s="221"/>
      <c r="I444" s="221"/>
      <c r="J444" s="221"/>
      <c r="K444" s="221"/>
      <c r="L444" s="220"/>
      <c r="M444" s="222"/>
    </row>
    <row r="445" spans="1:13" ht="12" customHeight="1">
      <c r="A445" s="223"/>
      <c r="B445" s="219"/>
      <c r="C445" s="219"/>
      <c r="D445" s="219"/>
      <c r="E445" s="220"/>
      <c r="F445" s="220"/>
      <c r="G445" s="221"/>
      <c r="H445" s="221"/>
      <c r="I445" s="221"/>
      <c r="J445" s="221"/>
      <c r="K445" s="221"/>
      <c r="L445" s="220"/>
      <c r="M445" s="222"/>
    </row>
    <row r="446" spans="1:13" ht="12" customHeight="1">
      <c r="A446" s="223"/>
      <c r="B446" s="219"/>
      <c r="C446" s="219"/>
      <c r="D446" s="219"/>
      <c r="E446" s="220"/>
      <c r="F446" s="220"/>
      <c r="G446" s="221"/>
      <c r="H446" s="221"/>
      <c r="I446" s="221"/>
      <c r="J446" s="221"/>
      <c r="K446" s="221"/>
      <c r="L446" s="220"/>
      <c r="M446" s="222"/>
    </row>
    <row r="447" spans="1:13" ht="12" customHeight="1">
      <c r="A447" s="223"/>
      <c r="B447" s="219"/>
      <c r="C447" s="219"/>
      <c r="D447" s="219"/>
      <c r="E447" s="220"/>
      <c r="F447" s="220"/>
      <c r="G447" s="221"/>
      <c r="H447" s="221"/>
      <c r="I447" s="221"/>
      <c r="J447" s="221"/>
      <c r="K447" s="221"/>
      <c r="L447" s="220"/>
      <c r="M447" s="222"/>
    </row>
    <row r="448" spans="1:13" ht="12" customHeight="1">
      <c r="A448" s="223"/>
      <c r="B448" s="219"/>
      <c r="C448" s="219"/>
      <c r="D448" s="219"/>
      <c r="E448" s="220"/>
      <c r="F448" s="220"/>
      <c r="G448" s="221"/>
      <c r="H448" s="221"/>
      <c r="I448" s="221"/>
      <c r="J448" s="221"/>
      <c r="K448" s="221"/>
      <c r="L448" s="220"/>
      <c r="M448" s="222"/>
    </row>
    <row r="449" spans="1:13" ht="12" customHeight="1">
      <c r="A449" s="223"/>
      <c r="B449" s="219"/>
      <c r="C449" s="219"/>
      <c r="D449" s="219"/>
      <c r="E449" s="220"/>
      <c r="F449" s="220"/>
      <c r="G449" s="221"/>
      <c r="H449" s="221"/>
      <c r="I449" s="221"/>
      <c r="J449" s="221"/>
      <c r="K449" s="221"/>
      <c r="L449" s="220"/>
      <c r="M449" s="222"/>
    </row>
    <row r="450" spans="1:13" ht="12" customHeight="1">
      <c r="A450" s="223"/>
      <c r="B450" s="219"/>
      <c r="C450" s="219"/>
      <c r="D450" s="219"/>
      <c r="E450" s="220"/>
      <c r="F450" s="220"/>
      <c r="G450" s="221"/>
      <c r="H450" s="221"/>
      <c r="I450" s="221"/>
      <c r="J450" s="221"/>
      <c r="K450" s="221"/>
      <c r="L450" s="220"/>
      <c r="M450" s="222"/>
    </row>
    <row r="451" spans="1:13" ht="12" customHeight="1">
      <c r="A451" s="223"/>
      <c r="B451" s="219"/>
      <c r="C451" s="219"/>
      <c r="D451" s="219"/>
      <c r="E451" s="220"/>
      <c r="F451" s="220"/>
      <c r="G451" s="221"/>
      <c r="H451" s="221"/>
      <c r="I451" s="221"/>
      <c r="J451" s="221"/>
      <c r="K451" s="221"/>
      <c r="L451" s="220"/>
      <c r="M451" s="222"/>
    </row>
    <row r="452" spans="1:13" ht="12" customHeight="1">
      <c r="A452" s="223"/>
      <c r="B452" s="219"/>
      <c r="C452" s="219"/>
      <c r="D452" s="219"/>
      <c r="E452" s="220"/>
      <c r="F452" s="220"/>
      <c r="G452" s="221"/>
      <c r="H452" s="221"/>
      <c r="I452" s="221"/>
      <c r="J452" s="221"/>
      <c r="K452" s="221"/>
      <c r="L452" s="220"/>
      <c r="M452" s="222"/>
    </row>
    <row r="453" spans="1:13" ht="12" customHeight="1">
      <c r="A453" s="223"/>
      <c r="B453" s="219"/>
      <c r="C453" s="219"/>
      <c r="D453" s="219"/>
      <c r="E453" s="220"/>
      <c r="F453" s="220"/>
      <c r="G453" s="221"/>
      <c r="H453" s="221"/>
      <c r="I453" s="221"/>
      <c r="J453" s="221"/>
      <c r="K453" s="221"/>
      <c r="L453" s="220"/>
      <c r="M453" s="222"/>
    </row>
    <row r="454" spans="1:13" ht="12" customHeight="1">
      <c r="A454" s="223"/>
      <c r="B454" s="219"/>
      <c r="C454" s="219"/>
      <c r="D454" s="219"/>
      <c r="E454" s="220"/>
      <c r="F454" s="220"/>
      <c r="G454" s="221"/>
      <c r="H454" s="221"/>
      <c r="I454" s="221"/>
      <c r="J454" s="221"/>
      <c r="K454" s="221"/>
      <c r="L454" s="220"/>
      <c r="M454" s="222"/>
    </row>
    <row r="455" spans="1:13" ht="12" customHeight="1">
      <c r="A455" s="223"/>
      <c r="B455" s="219"/>
      <c r="C455" s="219"/>
      <c r="D455" s="219"/>
      <c r="E455" s="220"/>
      <c r="F455" s="220"/>
      <c r="G455" s="221"/>
      <c r="H455" s="221"/>
      <c r="I455" s="221"/>
      <c r="J455" s="221"/>
      <c r="K455" s="221"/>
      <c r="L455" s="220"/>
      <c r="M455" s="222"/>
    </row>
    <row r="456" spans="1:13" ht="12" customHeight="1">
      <c r="A456" s="223"/>
      <c r="B456" s="219"/>
      <c r="C456" s="219"/>
      <c r="D456" s="219"/>
      <c r="E456" s="220"/>
      <c r="F456" s="220"/>
      <c r="G456" s="221"/>
      <c r="H456" s="221"/>
      <c r="I456" s="221"/>
      <c r="J456" s="221"/>
      <c r="K456" s="221"/>
      <c r="L456" s="220"/>
      <c r="M456" s="222"/>
    </row>
    <row r="457" spans="1:13" ht="12" customHeight="1">
      <c r="A457" s="223"/>
      <c r="B457" s="219"/>
      <c r="C457" s="219"/>
      <c r="D457" s="219"/>
      <c r="E457" s="220"/>
      <c r="F457" s="220"/>
      <c r="G457" s="221"/>
      <c r="H457" s="221"/>
      <c r="I457" s="221"/>
      <c r="J457" s="221"/>
      <c r="K457" s="221"/>
      <c r="L457" s="220"/>
      <c r="M457" s="222"/>
    </row>
    <row r="458" spans="1:13" ht="12" customHeight="1">
      <c r="A458" s="223"/>
      <c r="B458" s="219"/>
      <c r="C458" s="219"/>
      <c r="D458" s="219"/>
      <c r="E458" s="220"/>
      <c r="F458" s="220"/>
      <c r="G458" s="221"/>
      <c r="H458" s="221"/>
      <c r="I458" s="221"/>
      <c r="J458" s="221"/>
      <c r="K458" s="221"/>
      <c r="L458" s="220"/>
      <c r="M458" s="222"/>
    </row>
    <row r="459" spans="1:13" ht="12" customHeight="1">
      <c r="A459" s="223"/>
      <c r="B459" s="219"/>
      <c r="C459" s="219"/>
      <c r="D459" s="219"/>
      <c r="E459" s="220"/>
      <c r="F459" s="220"/>
      <c r="G459" s="221"/>
      <c r="H459" s="221"/>
      <c r="I459" s="221"/>
      <c r="J459" s="221"/>
      <c r="K459" s="221"/>
      <c r="L459" s="220"/>
      <c r="M459" s="222"/>
    </row>
    <row r="460" spans="1:13" ht="12" customHeight="1">
      <c r="A460" s="223"/>
      <c r="B460" s="219"/>
      <c r="C460" s="219"/>
      <c r="D460" s="219"/>
      <c r="E460" s="220"/>
      <c r="F460" s="220"/>
      <c r="G460" s="221"/>
      <c r="H460" s="221"/>
      <c r="I460" s="221"/>
      <c r="J460" s="221"/>
      <c r="K460" s="221"/>
      <c r="L460" s="220"/>
      <c r="M460" s="222"/>
    </row>
    <row r="461" spans="1:13" ht="12" customHeight="1">
      <c r="A461" s="223"/>
      <c r="B461" s="219"/>
      <c r="C461" s="219"/>
      <c r="D461" s="219"/>
      <c r="E461" s="220"/>
      <c r="F461" s="220"/>
      <c r="G461" s="221"/>
      <c r="H461" s="221"/>
      <c r="I461" s="221"/>
      <c r="J461" s="221"/>
      <c r="K461" s="221"/>
      <c r="L461" s="220"/>
      <c r="M461" s="222"/>
    </row>
    <row r="462" spans="1:13" ht="12" customHeight="1">
      <c r="A462" s="223"/>
      <c r="B462" s="219"/>
      <c r="C462" s="219"/>
      <c r="D462" s="219"/>
      <c r="E462" s="220"/>
      <c r="F462" s="220"/>
      <c r="G462" s="221"/>
      <c r="H462" s="221"/>
      <c r="I462" s="221"/>
      <c r="J462" s="221"/>
      <c r="K462" s="221"/>
      <c r="L462" s="220"/>
      <c r="M462" s="222"/>
    </row>
    <row r="463" spans="1:13" ht="12" customHeight="1">
      <c r="A463" s="223"/>
      <c r="B463" s="219"/>
      <c r="C463" s="219"/>
      <c r="D463" s="219"/>
      <c r="E463" s="220"/>
      <c r="F463" s="220"/>
      <c r="G463" s="221"/>
      <c r="H463" s="221"/>
      <c r="I463" s="221"/>
      <c r="J463" s="221"/>
      <c r="K463" s="221"/>
      <c r="L463" s="220"/>
      <c r="M463" s="222"/>
    </row>
    <row r="464" spans="1:13" ht="12" customHeight="1">
      <c r="A464" s="223"/>
      <c r="B464" s="219"/>
      <c r="C464" s="219"/>
      <c r="D464" s="219"/>
      <c r="E464" s="220"/>
      <c r="F464" s="220"/>
      <c r="G464" s="221"/>
      <c r="H464" s="221"/>
      <c r="I464" s="221"/>
      <c r="J464" s="221"/>
      <c r="K464" s="221"/>
      <c r="L464" s="220"/>
      <c r="M464" s="222"/>
    </row>
    <row r="465" spans="1:13" ht="12" customHeight="1">
      <c r="A465" s="223"/>
      <c r="B465" s="219"/>
      <c r="C465" s="219"/>
      <c r="D465" s="219"/>
      <c r="E465" s="220"/>
      <c r="F465" s="220"/>
      <c r="G465" s="221"/>
      <c r="H465" s="221"/>
      <c r="I465" s="221"/>
      <c r="J465" s="221"/>
      <c r="K465" s="221"/>
      <c r="L465" s="220"/>
      <c r="M465" s="222"/>
    </row>
    <row r="466" spans="1:13" ht="12" customHeight="1">
      <c r="A466" s="223"/>
      <c r="B466" s="219"/>
      <c r="C466" s="219"/>
      <c r="D466" s="219"/>
      <c r="E466" s="220"/>
      <c r="F466" s="220"/>
      <c r="G466" s="221"/>
      <c r="H466" s="221"/>
      <c r="I466" s="221"/>
      <c r="J466" s="221"/>
      <c r="K466" s="221"/>
      <c r="L466" s="220"/>
      <c r="M466" s="222"/>
    </row>
    <row r="467" spans="1:13" ht="12" customHeight="1">
      <c r="A467" s="223"/>
      <c r="B467" s="219"/>
      <c r="C467" s="219"/>
      <c r="D467" s="219"/>
      <c r="E467" s="220"/>
      <c r="F467" s="220"/>
      <c r="G467" s="221"/>
      <c r="H467" s="221"/>
      <c r="I467" s="221"/>
      <c r="J467" s="221"/>
      <c r="K467" s="221"/>
      <c r="L467" s="220"/>
      <c r="M467" s="222"/>
    </row>
    <row r="468" spans="1:13" ht="12" customHeight="1">
      <c r="A468" s="223"/>
      <c r="B468" s="219"/>
      <c r="C468" s="219"/>
      <c r="D468" s="219"/>
      <c r="E468" s="220"/>
      <c r="F468" s="220"/>
      <c r="G468" s="221"/>
      <c r="H468" s="221"/>
      <c r="I468" s="221"/>
      <c r="J468" s="221"/>
      <c r="K468" s="221"/>
      <c r="L468" s="220"/>
      <c r="M468" s="222"/>
    </row>
    <row r="469" spans="1:13" ht="12" customHeight="1">
      <c r="A469" s="223"/>
      <c r="B469" s="219"/>
      <c r="C469" s="219"/>
      <c r="D469" s="219"/>
      <c r="E469" s="220"/>
      <c r="F469" s="220"/>
      <c r="G469" s="221"/>
      <c r="H469" s="221"/>
      <c r="I469" s="221"/>
      <c r="J469" s="221"/>
      <c r="K469" s="221"/>
      <c r="L469" s="220"/>
      <c r="M469" s="222"/>
    </row>
    <row r="470" spans="1:13" ht="12" customHeight="1">
      <c r="A470" s="223"/>
      <c r="B470" s="219"/>
      <c r="C470" s="219"/>
      <c r="D470" s="219"/>
      <c r="E470" s="220"/>
      <c r="F470" s="220"/>
      <c r="G470" s="221"/>
      <c r="H470" s="221"/>
      <c r="I470" s="221"/>
      <c r="J470" s="221"/>
      <c r="K470" s="221"/>
      <c r="L470" s="220"/>
      <c r="M470" s="222"/>
    </row>
    <row r="471" spans="1:13" ht="12" customHeight="1">
      <c r="A471" s="223"/>
      <c r="B471" s="219"/>
      <c r="C471" s="219"/>
      <c r="D471" s="219"/>
      <c r="E471" s="220"/>
      <c r="F471" s="220"/>
      <c r="G471" s="221"/>
      <c r="H471" s="221"/>
      <c r="I471" s="221"/>
      <c r="J471" s="221"/>
      <c r="K471" s="221"/>
      <c r="L471" s="220"/>
      <c r="M471" s="222"/>
    </row>
    <row r="472" spans="1:13" ht="12" customHeight="1">
      <c r="A472" s="223"/>
      <c r="B472" s="219"/>
      <c r="C472" s="219"/>
      <c r="D472" s="219"/>
      <c r="E472" s="220"/>
      <c r="F472" s="220"/>
      <c r="G472" s="221"/>
      <c r="H472" s="221"/>
      <c r="I472" s="221"/>
      <c r="J472" s="221"/>
      <c r="K472" s="221"/>
      <c r="L472" s="220"/>
      <c r="M472" s="222"/>
    </row>
    <row r="473" spans="1:13" ht="12" customHeight="1">
      <c r="A473" s="223"/>
      <c r="B473" s="219"/>
      <c r="C473" s="219"/>
      <c r="D473" s="219"/>
      <c r="E473" s="220"/>
      <c r="F473" s="220"/>
      <c r="G473" s="221"/>
      <c r="H473" s="221"/>
      <c r="I473" s="221"/>
      <c r="J473" s="221"/>
      <c r="K473" s="221"/>
      <c r="L473" s="220"/>
      <c r="M473" s="222"/>
    </row>
    <row r="474" spans="1:13" ht="12" customHeight="1">
      <c r="A474" s="223"/>
      <c r="B474" s="219"/>
      <c r="C474" s="219"/>
      <c r="D474" s="219"/>
      <c r="E474" s="220"/>
      <c r="F474" s="220"/>
      <c r="G474" s="221"/>
      <c r="H474" s="221"/>
      <c r="I474" s="221"/>
      <c r="J474" s="221"/>
      <c r="K474" s="221"/>
      <c r="L474" s="220"/>
      <c r="M474" s="222"/>
    </row>
    <row r="475" spans="1:13" ht="12" customHeight="1">
      <c r="A475" s="223"/>
      <c r="B475" s="219"/>
      <c r="C475" s="219"/>
      <c r="D475" s="219"/>
      <c r="E475" s="220"/>
      <c r="F475" s="220"/>
      <c r="G475" s="221"/>
      <c r="H475" s="221"/>
      <c r="I475" s="221"/>
      <c r="J475" s="221"/>
      <c r="K475" s="221"/>
      <c r="L475" s="220"/>
      <c r="M475" s="222"/>
    </row>
    <row r="476" spans="1:13" ht="12" customHeight="1">
      <c r="A476" s="223"/>
      <c r="B476" s="219"/>
      <c r="C476" s="219"/>
      <c r="D476" s="219"/>
      <c r="E476" s="220"/>
      <c r="F476" s="220"/>
      <c r="G476" s="221"/>
      <c r="H476" s="221"/>
      <c r="I476" s="221"/>
      <c r="J476" s="221"/>
      <c r="K476" s="221"/>
      <c r="L476" s="220"/>
      <c r="M476" s="222"/>
    </row>
    <row r="477" spans="1:13" ht="12" customHeight="1">
      <c r="A477" s="223"/>
      <c r="B477" s="219"/>
      <c r="C477" s="219"/>
      <c r="D477" s="219"/>
      <c r="E477" s="220"/>
      <c r="F477" s="220"/>
      <c r="G477" s="221"/>
      <c r="H477" s="221"/>
      <c r="I477" s="221"/>
      <c r="J477" s="221"/>
      <c r="K477" s="221"/>
      <c r="L477" s="220"/>
      <c r="M477" s="222"/>
    </row>
    <row r="478" spans="1:13" ht="12" customHeight="1">
      <c r="A478" s="223"/>
      <c r="B478" s="219"/>
      <c r="C478" s="219"/>
      <c r="D478" s="219"/>
      <c r="E478" s="220"/>
      <c r="F478" s="220"/>
      <c r="G478" s="221"/>
      <c r="H478" s="221"/>
      <c r="I478" s="221"/>
      <c r="J478" s="221"/>
      <c r="K478" s="221"/>
      <c r="L478" s="220"/>
      <c r="M478" s="222"/>
    </row>
    <row r="479" spans="1:13" ht="12" customHeight="1">
      <c r="A479" s="223"/>
      <c r="B479" s="219"/>
      <c r="C479" s="219"/>
      <c r="D479" s="219"/>
      <c r="E479" s="220"/>
      <c r="F479" s="220"/>
      <c r="G479" s="221"/>
      <c r="H479" s="221"/>
      <c r="I479" s="221"/>
      <c r="J479" s="221"/>
      <c r="K479" s="221"/>
      <c r="L479" s="220"/>
      <c r="M479" s="222"/>
    </row>
    <row r="480" spans="1:13" ht="12" customHeight="1">
      <c r="A480" s="223"/>
      <c r="B480" s="219"/>
      <c r="C480" s="219"/>
      <c r="D480" s="219"/>
      <c r="E480" s="220"/>
      <c r="F480" s="220"/>
      <c r="G480" s="221"/>
      <c r="H480" s="221"/>
      <c r="I480" s="221"/>
      <c r="J480" s="221"/>
      <c r="K480" s="221"/>
      <c r="L480" s="220"/>
      <c r="M480" s="222"/>
    </row>
    <row r="481" spans="1:13" ht="12" customHeight="1">
      <c r="A481" s="223"/>
      <c r="B481" s="219"/>
      <c r="C481" s="219"/>
      <c r="D481" s="219"/>
      <c r="E481" s="220"/>
      <c r="F481" s="220"/>
      <c r="G481" s="221"/>
      <c r="H481" s="221"/>
      <c r="I481" s="221"/>
      <c r="J481" s="221"/>
      <c r="K481" s="221"/>
      <c r="L481" s="220"/>
      <c r="M481" s="222"/>
    </row>
    <row r="482" spans="1:13" ht="12" customHeight="1">
      <c r="A482" s="223"/>
      <c r="B482" s="219"/>
      <c r="C482" s="219"/>
      <c r="D482" s="219"/>
      <c r="E482" s="220"/>
      <c r="F482" s="220"/>
      <c r="G482" s="221"/>
      <c r="H482" s="221"/>
      <c r="I482" s="221"/>
      <c r="J482" s="221"/>
      <c r="K482" s="221"/>
      <c r="L482" s="220"/>
      <c r="M482" s="222"/>
    </row>
    <row r="483" spans="1:13" ht="12" customHeight="1">
      <c r="A483" s="223"/>
      <c r="B483" s="219"/>
      <c r="C483" s="219"/>
      <c r="D483" s="219"/>
      <c r="E483" s="220"/>
      <c r="F483" s="220"/>
      <c r="G483" s="221"/>
      <c r="H483" s="221"/>
      <c r="I483" s="221"/>
      <c r="J483" s="221"/>
      <c r="K483" s="221"/>
      <c r="L483" s="220"/>
      <c r="M483" s="222"/>
    </row>
    <row r="484" spans="1:13" ht="12" customHeight="1">
      <c r="A484" s="223"/>
      <c r="B484" s="219"/>
      <c r="C484" s="219"/>
      <c r="D484" s="219"/>
      <c r="E484" s="220"/>
      <c r="F484" s="220"/>
      <c r="G484" s="221"/>
      <c r="H484" s="221"/>
      <c r="I484" s="221"/>
      <c r="J484" s="221"/>
      <c r="K484" s="221"/>
      <c r="L484" s="220"/>
      <c r="M484" s="222"/>
    </row>
    <row r="485" spans="1:13" ht="12" customHeight="1">
      <c r="A485" s="223"/>
      <c r="B485" s="219"/>
      <c r="C485" s="219"/>
      <c r="D485" s="219"/>
      <c r="E485" s="220"/>
      <c r="F485" s="220"/>
      <c r="G485" s="221"/>
      <c r="H485" s="221"/>
      <c r="I485" s="221"/>
      <c r="J485" s="221"/>
      <c r="K485" s="221"/>
      <c r="L485" s="220"/>
      <c r="M485" s="222"/>
    </row>
    <row r="486" spans="1:13" ht="12" customHeight="1">
      <c r="A486" s="223"/>
      <c r="B486" s="219"/>
      <c r="C486" s="219"/>
      <c r="D486" s="219"/>
      <c r="E486" s="220"/>
      <c r="F486" s="220"/>
      <c r="G486" s="221"/>
      <c r="H486" s="221"/>
      <c r="I486" s="221"/>
      <c r="J486" s="221"/>
      <c r="K486" s="221"/>
      <c r="L486" s="220"/>
      <c r="M486" s="222"/>
    </row>
    <row r="487" spans="1:13" ht="12" customHeight="1">
      <c r="A487" s="223"/>
      <c r="B487" s="219"/>
      <c r="C487" s="219"/>
      <c r="D487" s="219"/>
      <c r="E487" s="220"/>
      <c r="F487" s="220"/>
      <c r="G487" s="221"/>
      <c r="H487" s="221"/>
      <c r="I487" s="221"/>
      <c r="J487" s="221"/>
      <c r="K487" s="221"/>
      <c r="L487" s="220"/>
      <c r="M487" s="222"/>
    </row>
    <row r="488" spans="1:13" ht="12" customHeight="1">
      <c r="A488" s="223"/>
      <c r="B488" s="219"/>
      <c r="C488" s="219"/>
      <c r="D488" s="219"/>
      <c r="E488" s="220"/>
      <c r="F488" s="220"/>
      <c r="G488" s="221"/>
      <c r="H488" s="221"/>
      <c r="I488" s="221"/>
      <c r="J488" s="221"/>
      <c r="K488" s="221"/>
      <c r="L488" s="220"/>
      <c r="M488" s="222"/>
    </row>
    <row r="489" spans="1:13" ht="12" customHeight="1">
      <c r="A489" s="223"/>
      <c r="B489" s="219"/>
      <c r="C489" s="219"/>
      <c r="D489" s="219"/>
      <c r="E489" s="220"/>
      <c r="F489" s="220"/>
      <c r="G489" s="221"/>
      <c r="H489" s="221"/>
      <c r="I489" s="221"/>
      <c r="J489" s="221"/>
      <c r="K489" s="221"/>
      <c r="L489" s="220"/>
      <c r="M489" s="222"/>
    </row>
    <row r="490" spans="1:13" ht="12" customHeight="1">
      <c r="A490" s="223"/>
      <c r="B490" s="219"/>
      <c r="C490" s="219"/>
      <c r="D490" s="219"/>
      <c r="E490" s="220"/>
      <c r="F490" s="220"/>
      <c r="G490" s="221"/>
      <c r="H490" s="221"/>
      <c r="I490" s="221"/>
      <c r="J490" s="221"/>
      <c r="K490" s="221"/>
      <c r="L490" s="220"/>
      <c r="M490" s="222"/>
    </row>
    <row r="491" spans="1:13" ht="12" customHeight="1">
      <c r="A491" s="223"/>
      <c r="B491" s="219"/>
      <c r="C491" s="219"/>
      <c r="D491" s="219"/>
      <c r="E491" s="220"/>
      <c r="F491" s="220"/>
      <c r="G491" s="221"/>
      <c r="H491" s="221"/>
      <c r="I491" s="221"/>
      <c r="J491" s="221"/>
      <c r="K491" s="221"/>
      <c r="L491" s="220"/>
      <c r="M491" s="222"/>
    </row>
    <row r="492" spans="1:13" ht="12" customHeight="1">
      <c r="A492" s="223"/>
      <c r="B492" s="219"/>
      <c r="C492" s="219"/>
      <c r="D492" s="219"/>
      <c r="E492" s="220"/>
      <c r="F492" s="220"/>
      <c r="G492" s="221"/>
      <c r="H492" s="221"/>
      <c r="I492" s="221"/>
      <c r="J492" s="221"/>
      <c r="K492" s="221"/>
      <c r="L492" s="220"/>
      <c r="M492" s="222"/>
    </row>
    <row r="493" spans="1:13" ht="12" customHeight="1">
      <c r="A493" s="223"/>
      <c r="B493" s="219"/>
      <c r="C493" s="219"/>
      <c r="D493" s="219"/>
      <c r="E493" s="220"/>
      <c r="F493" s="220"/>
      <c r="G493" s="221"/>
      <c r="H493" s="221"/>
      <c r="I493" s="221"/>
      <c r="J493" s="221"/>
      <c r="K493" s="221"/>
      <c r="L493" s="220"/>
      <c r="M493" s="222"/>
    </row>
    <row r="494" spans="1:13" ht="12" customHeight="1">
      <c r="A494" s="223"/>
      <c r="B494" s="219"/>
      <c r="C494" s="219"/>
      <c r="D494" s="219"/>
      <c r="E494" s="220"/>
      <c r="F494" s="220"/>
      <c r="G494" s="221"/>
      <c r="H494" s="221"/>
      <c r="I494" s="221"/>
      <c r="J494" s="221"/>
      <c r="K494" s="221"/>
      <c r="L494" s="220"/>
      <c r="M494" s="222"/>
    </row>
    <row r="495" spans="1:13" ht="12" customHeight="1">
      <c r="A495" s="223"/>
      <c r="B495" s="219"/>
      <c r="C495" s="219"/>
      <c r="D495" s="219"/>
      <c r="E495" s="220"/>
      <c r="F495" s="220"/>
      <c r="G495" s="221"/>
      <c r="H495" s="221"/>
      <c r="I495" s="221"/>
      <c r="J495" s="221"/>
      <c r="K495" s="221"/>
      <c r="L495" s="220"/>
      <c r="M495" s="222"/>
    </row>
    <row r="496" spans="1:13" ht="12" customHeight="1">
      <c r="A496" s="223"/>
      <c r="B496" s="219"/>
      <c r="C496" s="219"/>
      <c r="D496" s="219"/>
      <c r="E496" s="220"/>
      <c r="F496" s="220"/>
      <c r="G496" s="221"/>
      <c r="H496" s="221"/>
      <c r="I496" s="221"/>
      <c r="J496" s="221"/>
      <c r="K496" s="221"/>
      <c r="L496" s="220"/>
      <c r="M496" s="222"/>
    </row>
    <row r="497" spans="1:13" ht="12" customHeight="1">
      <c r="A497" s="223"/>
      <c r="B497" s="219"/>
      <c r="C497" s="219"/>
      <c r="D497" s="219"/>
      <c r="E497" s="220"/>
      <c r="F497" s="220"/>
      <c r="G497" s="221"/>
      <c r="H497" s="221"/>
      <c r="I497" s="221"/>
      <c r="J497" s="221"/>
      <c r="K497" s="221"/>
      <c r="L497" s="220"/>
      <c r="M497" s="222"/>
    </row>
    <row r="498" spans="1:13" ht="12" customHeight="1">
      <c r="A498" s="223"/>
      <c r="B498" s="219"/>
      <c r="C498" s="219"/>
      <c r="D498" s="219"/>
      <c r="E498" s="220"/>
      <c r="F498" s="220"/>
      <c r="G498" s="221"/>
      <c r="H498" s="221"/>
      <c r="I498" s="221"/>
      <c r="J498" s="221"/>
      <c r="K498" s="221"/>
      <c r="L498" s="220"/>
      <c r="M498" s="222"/>
    </row>
    <row r="499" spans="1:13" ht="12" customHeight="1">
      <c r="A499" s="223"/>
      <c r="B499" s="219"/>
      <c r="C499" s="219"/>
      <c r="D499" s="219"/>
      <c r="E499" s="220"/>
      <c r="F499" s="220"/>
      <c r="G499" s="221"/>
      <c r="H499" s="221"/>
      <c r="I499" s="221"/>
      <c r="J499" s="221"/>
      <c r="K499" s="221"/>
      <c r="L499" s="220"/>
      <c r="M499" s="222"/>
    </row>
    <row r="500" spans="1:13" ht="12" customHeight="1">
      <c r="A500" s="223"/>
      <c r="B500" s="219"/>
      <c r="C500" s="219"/>
      <c r="D500" s="219"/>
      <c r="E500" s="220"/>
      <c r="F500" s="220"/>
      <c r="G500" s="221"/>
      <c r="H500" s="221"/>
      <c r="I500" s="221"/>
      <c r="J500" s="221"/>
      <c r="K500" s="221"/>
      <c r="L500" s="220"/>
      <c r="M500" s="222"/>
    </row>
    <row r="501" spans="1:13" ht="12" customHeight="1">
      <c r="A501" s="223"/>
      <c r="B501" s="219"/>
      <c r="C501" s="219"/>
      <c r="D501" s="219"/>
      <c r="E501" s="220"/>
      <c r="F501" s="220"/>
      <c r="G501" s="221"/>
      <c r="H501" s="221"/>
      <c r="I501" s="221"/>
      <c r="J501" s="221"/>
      <c r="K501" s="221"/>
      <c r="L501" s="220"/>
      <c r="M501" s="222"/>
    </row>
    <row r="502" spans="1:13" ht="12" customHeight="1">
      <c r="A502" s="223"/>
      <c r="B502" s="219"/>
      <c r="C502" s="219"/>
      <c r="D502" s="219"/>
      <c r="E502" s="220"/>
      <c r="F502" s="220"/>
      <c r="G502" s="221"/>
      <c r="H502" s="221"/>
      <c r="I502" s="221"/>
      <c r="J502" s="221"/>
      <c r="K502" s="221"/>
      <c r="L502" s="220"/>
      <c r="M502" s="222"/>
    </row>
    <row r="503" spans="1:13" ht="12" customHeight="1">
      <c r="A503" s="223"/>
      <c r="B503" s="219"/>
      <c r="C503" s="219"/>
      <c r="D503" s="219"/>
      <c r="E503" s="220"/>
      <c r="F503" s="220"/>
      <c r="G503" s="221"/>
      <c r="H503" s="221"/>
      <c r="I503" s="221"/>
      <c r="J503" s="221"/>
      <c r="K503" s="221"/>
      <c r="L503" s="220"/>
      <c r="M503" s="222"/>
    </row>
    <row r="504" spans="1:13" ht="12" customHeight="1">
      <c r="A504" s="223"/>
      <c r="B504" s="219"/>
      <c r="C504" s="219"/>
      <c r="D504" s="219"/>
      <c r="E504" s="220"/>
      <c r="F504" s="220"/>
      <c r="G504" s="221"/>
      <c r="H504" s="221"/>
      <c r="I504" s="221"/>
      <c r="J504" s="221"/>
      <c r="K504" s="221"/>
      <c r="L504" s="220"/>
      <c r="M504" s="222"/>
    </row>
    <row r="505" spans="1:13" ht="12" customHeight="1">
      <c r="A505" s="223"/>
      <c r="B505" s="219"/>
      <c r="C505" s="219"/>
      <c r="D505" s="219"/>
      <c r="E505" s="220"/>
      <c r="F505" s="220"/>
      <c r="G505" s="221"/>
      <c r="H505" s="221"/>
      <c r="I505" s="221"/>
      <c r="J505" s="221"/>
      <c r="K505" s="221"/>
      <c r="L505" s="220"/>
      <c r="M505" s="222"/>
    </row>
    <row r="506" spans="1:13" ht="12" customHeight="1">
      <c r="A506" s="223"/>
      <c r="B506" s="219"/>
      <c r="C506" s="219"/>
      <c r="D506" s="219"/>
      <c r="E506" s="220"/>
      <c r="F506" s="220"/>
      <c r="G506" s="221"/>
      <c r="H506" s="221"/>
      <c r="I506" s="221"/>
      <c r="J506" s="221"/>
      <c r="K506" s="221"/>
      <c r="L506" s="220"/>
      <c r="M506" s="222"/>
    </row>
    <row r="507" spans="1:13" ht="12" customHeight="1">
      <c r="A507" s="223"/>
      <c r="B507" s="219"/>
      <c r="C507" s="219"/>
      <c r="D507" s="219"/>
      <c r="E507" s="220"/>
      <c r="F507" s="220"/>
      <c r="G507" s="221"/>
      <c r="H507" s="221"/>
      <c r="I507" s="221"/>
      <c r="J507" s="221"/>
      <c r="K507" s="221"/>
      <c r="L507" s="220"/>
      <c r="M507" s="222"/>
    </row>
    <row r="508" spans="1:13" ht="12" customHeight="1">
      <c r="A508" s="223"/>
      <c r="B508" s="219"/>
      <c r="C508" s="219"/>
      <c r="D508" s="219"/>
      <c r="E508" s="220"/>
      <c r="F508" s="220"/>
      <c r="G508" s="221"/>
      <c r="H508" s="221"/>
      <c r="I508" s="221"/>
      <c r="J508" s="221"/>
      <c r="K508" s="221"/>
      <c r="L508" s="220"/>
      <c r="M508" s="222"/>
    </row>
    <row r="509" spans="1:13" ht="12" customHeight="1">
      <c r="A509" s="223"/>
      <c r="B509" s="219"/>
      <c r="C509" s="219"/>
      <c r="D509" s="219"/>
      <c r="E509" s="220"/>
      <c r="F509" s="220"/>
      <c r="G509" s="221"/>
      <c r="H509" s="221"/>
      <c r="I509" s="221"/>
      <c r="J509" s="221"/>
      <c r="K509" s="221"/>
      <c r="L509" s="220"/>
      <c r="M509" s="222"/>
    </row>
    <row r="510" spans="1:13" ht="12" customHeight="1">
      <c r="A510" s="223"/>
      <c r="B510" s="219"/>
      <c r="C510" s="219"/>
      <c r="D510" s="219"/>
      <c r="E510" s="220"/>
      <c r="F510" s="220"/>
      <c r="G510" s="221"/>
      <c r="H510" s="221"/>
      <c r="I510" s="221"/>
      <c r="J510" s="221"/>
      <c r="K510" s="221"/>
      <c r="L510" s="220"/>
      <c r="M510" s="222"/>
    </row>
    <row r="511" spans="1:13" ht="12" customHeight="1">
      <c r="A511" s="223"/>
      <c r="B511" s="219"/>
      <c r="C511" s="219"/>
      <c r="D511" s="219"/>
      <c r="E511" s="220"/>
      <c r="F511" s="220"/>
      <c r="G511" s="221"/>
      <c r="H511" s="221"/>
      <c r="I511" s="221"/>
      <c r="J511" s="221"/>
      <c r="K511" s="221"/>
      <c r="L511" s="220"/>
      <c r="M511" s="222"/>
    </row>
    <row r="512" spans="1:13" ht="12" customHeight="1">
      <c r="A512" s="223"/>
      <c r="B512" s="219"/>
      <c r="C512" s="219"/>
      <c r="D512" s="219"/>
      <c r="E512" s="220"/>
      <c r="F512" s="220"/>
      <c r="G512" s="221"/>
      <c r="H512" s="221"/>
      <c r="I512" s="221"/>
      <c r="J512" s="221"/>
      <c r="K512" s="221"/>
      <c r="L512" s="220"/>
      <c r="M512" s="222"/>
    </row>
    <row r="513" spans="1:13" ht="12" customHeight="1">
      <c r="A513" s="223"/>
      <c r="B513" s="219"/>
      <c r="C513" s="219"/>
      <c r="D513" s="219"/>
      <c r="E513" s="220"/>
      <c r="F513" s="220"/>
      <c r="G513" s="221"/>
      <c r="H513" s="221"/>
      <c r="I513" s="221"/>
      <c r="J513" s="221"/>
      <c r="K513" s="221"/>
      <c r="L513" s="220"/>
      <c r="M513" s="222"/>
    </row>
    <row r="514" spans="1:13" ht="12" customHeight="1">
      <c r="A514" s="223"/>
      <c r="B514" s="219"/>
      <c r="C514" s="219"/>
      <c r="D514" s="219"/>
      <c r="E514" s="220"/>
      <c r="F514" s="220"/>
      <c r="G514" s="221"/>
      <c r="H514" s="221"/>
      <c r="I514" s="221"/>
      <c r="J514" s="221"/>
      <c r="K514" s="221"/>
      <c r="L514" s="220"/>
      <c r="M514" s="222"/>
    </row>
    <row r="515" spans="1:13" ht="12" customHeight="1">
      <c r="A515" s="223"/>
      <c r="B515" s="219"/>
      <c r="C515" s="219"/>
      <c r="D515" s="219"/>
      <c r="E515" s="220"/>
      <c r="F515" s="220"/>
      <c r="G515" s="221"/>
      <c r="H515" s="221"/>
      <c r="I515" s="221"/>
      <c r="J515" s="221"/>
      <c r="K515" s="221"/>
      <c r="L515" s="220"/>
      <c r="M515" s="222"/>
    </row>
    <row r="516" spans="1:13" ht="12" customHeight="1">
      <c r="A516" s="223"/>
      <c r="B516" s="219"/>
      <c r="C516" s="219"/>
      <c r="D516" s="219"/>
      <c r="E516" s="220"/>
      <c r="F516" s="220"/>
      <c r="G516" s="221"/>
      <c r="H516" s="221"/>
      <c r="I516" s="221"/>
      <c r="J516" s="221"/>
      <c r="K516" s="221"/>
      <c r="L516" s="220"/>
      <c r="M516" s="222"/>
    </row>
    <row r="517" spans="1:13" ht="12" customHeight="1">
      <c r="A517" s="223"/>
      <c r="B517" s="219"/>
      <c r="C517" s="219"/>
      <c r="D517" s="219"/>
      <c r="E517" s="220"/>
      <c r="F517" s="220"/>
      <c r="G517" s="221"/>
      <c r="H517" s="221"/>
      <c r="I517" s="221"/>
      <c r="J517" s="221"/>
      <c r="K517" s="221"/>
      <c r="L517" s="220"/>
      <c r="M517" s="222"/>
    </row>
    <row r="518" spans="1:13" ht="12" customHeight="1">
      <c r="A518" s="223"/>
      <c r="B518" s="219"/>
      <c r="C518" s="219"/>
      <c r="D518" s="219"/>
      <c r="E518" s="220"/>
      <c r="F518" s="220"/>
      <c r="G518" s="221"/>
      <c r="H518" s="221"/>
      <c r="I518" s="221"/>
      <c r="J518" s="221"/>
      <c r="K518" s="221"/>
      <c r="L518" s="220"/>
      <c r="M518" s="222"/>
    </row>
    <row r="519" spans="1:13" ht="12" customHeight="1">
      <c r="A519" s="223"/>
      <c r="B519" s="219"/>
      <c r="C519" s="219"/>
      <c r="D519" s="219"/>
      <c r="E519" s="220"/>
      <c r="F519" s="220"/>
      <c r="G519" s="221"/>
      <c r="H519" s="221"/>
      <c r="I519" s="221"/>
      <c r="J519" s="221"/>
      <c r="K519" s="221"/>
      <c r="L519" s="220"/>
      <c r="M519" s="222"/>
    </row>
    <row r="520" spans="1:13" ht="12" customHeight="1">
      <c r="A520" s="223"/>
      <c r="B520" s="219"/>
      <c r="C520" s="219"/>
      <c r="D520" s="219"/>
      <c r="E520" s="220"/>
      <c r="F520" s="220"/>
      <c r="G520" s="221"/>
      <c r="H520" s="221"/>
      <c r="I520" s="221"/>
      <c r="J520" s="221"/>
      <c r="K520" s="221"/>
      <c r="L520" s="220"/>
      <c r="M520" s="222"/>
    </row>
    <row r="521" spans="1:13" ht="12" customHeight="1">
      <c r="A521" s="223"/>
      <c r="B521" s="219"/>
      <c r="C521" s="219"/>
      <c r="D521" s="219"/>
      <c r="E521" s="220"/>
      <c r="F521" s="220"/>
      <c r="G521" s="221"/>
      <c r="H521" s="221"/>
      <c r="I521" s="221"/>
      <c r="J521" s="221"/>
      <c r="K521" s="221"/>
      <c r="L521" s="220"/>
      <c r="M521" s="222"/>
    </row>
    <row r="522" spans="1:13" ht="12" customHeight="1">
      <c r="A522" s="223"/>
      <c r="B522" s="219"/>
      <c r="C522" s="219"/>
      <c r="D522" s="219"/>
      <c r="E522" s="220"/>
      <c r="F522" s="220"/>
      <c r="G522" s="221"/>
      <c r="H522" s="221"/>
      <c r="I522" s="221"/>
      <c r="J522" s="221"/>
      <c r="K522" s="221"/>
      <c r="L522" s="220"/>
      <c r="M522" s="222"/>
    </row>
    <row r="523" spans="1:13" ht="12" customHeight="1">
      <c r="A523" s="223"/>
      <c r="B523" s="219"/>
      <c r="C523" s="219"/>
      <c r="D523" s="219"/>
      <c r="E523" s="220"/>
      <c r="F523" s="220"/>
      <c r="G523" s="221"/>
      <c r="H523" s="221"/>
      <c r="I523" s="221"/>
      <c r="J523" s="221"/>
      <c r="K523" s="221"/>
      <c r="L523" s="220"/>
      <c r="M523" s="222"/>
    </row>
    <row r="524" spans="1:13" ht="12" customHeight="1">
      <c r="A524" s="223"/>
      <c r="B524" s="219"/>
      <c r="C524" s="219"/>
      <c r="D524" s="219"/>
      <c r="E524" s="220"/>
      <c r="F524" s="220"/>
      <c r="G524" s="221"/>
      <c r="H524" s="221"/>
      <c r="I524" s="221"/>
      <c r="J524" s="221"/>
      <c r="K524" s="221"/>
      <c r="L524" s="220"/>
      <c r="M524" s="222"/>
    </row>
    <row r="525" spans="1:13" ht="12" customHeight="1">
      <c r="A525" s="223"/>
      <c r="B525" s="219"/>
      <c r="C525" s="219"/>
      <c r="D525" s="219"/>
      <c r="E525" s="220"/>
      <c r="F525" s="220"/>
      <c r="G525" s="221"/>
      <c r="H525" s="221"/>
      <c r="I525" s="221"/>
      <c r="J525" s="221"/>
      <c r="K525" s="221"/>
      <c r="L525" s="220"/>
      <c r="M525" s="222"/>
    </row>
    <row r="526" spans="1:13" ht="12" customHeight="1">
      <c r="A526" s="223"/>
      <c r="B526" s="219"/>
      <c r="C526" s="219"/>
      <c r="D526" s="219"/>
      <c r="E526" s="220"/>
      <c r="F526" s="220"/>
      <c r="G526" s="221"/>
      <c r="H526" s="221"/>
      <c r="I526" s="221"/>
      <c r="J526" s="221"/>
      <c r="K526" s="221"/>
      <c r="L526" s="220"/>
      <c r="M526" s="222"/>
    </row>
    <row r="527" spans="1:13" ht="12" customHeight="1">
      <c r="A527" s="223"/>
      <c r="B527" s="219"/>
      <c r="C527" s="219"/>
      <c r="D527" s="219"/>
      <c r="E527" s="220"/>
      <c r="F527" s="220"/>
      <c r="G527" s="221"/>
      <c r="H527" s="221"/>
      <c r="I527" s="221"/>
      <c r="J527" s="221"/>
      <c r="K527" s="221"/>
      <c r="L527" s="220"/>
      <c r="M527" s="222"/>
    </row>
    <row r="528" spans="1:13" ht="12" customHeight="1">
      <c r="A528" s="223"/>
      <c r="B528" s="219"/>
      <c r="C528" s="219"/>
      <c r="D528" s="219"/>
      <c r="E528" s="220"/>
      <c r="F528" s="220"/>
      <c r="G528" s="221"/>
      <c r="H528" s="221"/>
      <c r="I528" s="221"/>
      <c r="J528" s="221"/>
      <c r="K528" s="221"/>
      <c r="L528" s="220"/>
      <c r="M528" s="222"/>
    </row>
    <row r="529" spans="1:13" ht="12" customHeight="1">
      <c r="A529" s="223"/>
      <c r="B529" s="219"/>
      <c r="C529" s="219"/>
      <c r="D529" s="219"/>
      <c r="E529" s="220"/>
      <c r="F529" s="220"/>
      <c r="G529" s="221"/>
      <c r="H529" s="221"/>
      <c r="I529" s="221"/>
      <c r="J529" s="221"/>
      <c r="K529" s="221"/>
      <c r="L529" s="220"/>
      <c r="M529" s="222"/>
    </row>
    <row r="530" spans="1:13" ht="12" customHeight="1">
      <c r="A530" s="223"/>
      <c r="B530" s="219"/>
      <c r="C530" s="219"/>
      <c r="D530" s="219"/>
      <c r="E530" s="220"/>
      <c r="F530" s="220"/>
      <c r="G530" s="221"/>
      <c r="H530" s="221"/>
      <c r="I530" s="221"/>
      <c r="J530" s="221"/>
      <c r="K530" s="221"/>
      <c r="L530" s="220"/>
      <c r="M530" s="222"/>
    </row>
    <row r="531" spans="1:13" ht="12" customHeight="1">
      <c r="A531" s="223"/>
      <c r="B531" s="219"/>
      <c r="C531" s="219"/>
      <c r="D531" s="219"/>
      <c r="E531" s="220"/>
      <c r="F531" s="220"/>
      <c r="G531" s="221"/>
      <c r="H531" s="221"/>
      <c r="I531" s="221"/>
      <c r="J531" s="221"/>
      <c r="K531" s="221"/>
      <c r="L531" s="220"/>
      <c r="M531" s="222"/>
    </row>
    <row r="532" spans="1:13" ht="12" customHeight="1">
      <c r="A532" s="223"/>
      <c r="B532" s="219"/>
      <c r="C532" s="219"/>
      <c r="D532" s="219"/>
      <c r="E532" s="220"/>
      <c r="F532" s="220"/>
      <c r="G532" s="221"/>
      <c r="H532" s="221"/>
      <c r="I532" s="221"/>
      <c r="J532" s="221"/>
      <c r="K532" s="221"/>
      <c r="L532" s="220"/>
      <c r="M532" s="222"/>
    </row>
    <row r="533" spans="1:13" ht="12" customHeight="1">
      <c r="A533" s="223"/>
      <c r="B533" s="219"/>
      <c r="C533" s="219"/>
      <c r="D533" s="219"/>
      <c r="E533" s="220"/>
      <c r="F533" s="220"/>
      <c r="G533" s="221"/>
      <c r="H533" s="221"/>
      <c r="I533" s="221"/>
      <c r="J533" s="221"/>
      <c r="K533" s="221"/>
      <c r="L533" s="220"/>
      <c r="M533" s="222"/>
    </row>
    <row r="534" spans="1:13" ht="12" customHeight="1">
      <c r="A534" s="223"/>
      <c r="B534" s="219"/>
      <c r="C534" s="219"/>
      <c r="D534" s="219"/>
      <c r="E534" s="220"/>
      <c r="F534" s="220"/>
      <c r="G534" s="221"/>
      <c r="H534" s="221"/>
      <c r="I534" s="221"/>
      <c r="J534" s="221"/>
      <c r="K534" s="221"/>
      <c r="L534" s="220"/>
      <c r="M534" s="222"/>
    </row>
    <row r="535" spans="1:13" ht="12" customHeight="1">
      <c r="A535" s="223"/>
      <c r="B535" s="219"/>
      <c r="C535" s="219"/>
      <c r="D535" s="219"/>
      <c r="E535" s="220"/>
      <c r="F535" s="220"/>
      <c r="G535" s="221"/>
      <c r="H535" s="221"/>
      <c r="I535" s="221"/>
      <c r="J535" s="221"/>
      <c r="K535" s="221"/>
      <c r="L535" s="220"/>
      <c r="M535" s="222"/>
    </row>
    <row r="536" spans="1:13" ht="12" customHeight="1">
      <c r="A536" s="223"/>
      <c r="B536" s="219"/>
      <c r="C536" s="219"/>
      <c r="D536" s="219"/>
      <c r="E536" s="220"/>
      <c r="F536" s="220"/>
      <c r="G536" s="221"/>
      <c r="H536" s="221"/>
      <c r="I536" s="221"/>
      <c r="J536" s="221"/>
      <c r="K536" s="221"/>
      <c r="L536" s="220"/>
      <c r="M536" s="222"/>
    </row>
    <row r="537" spans="1:13" ht="12" customHeight="1">
      <c r="A537" s="223"/>
      <c r="B537" s="219"/>
      <c r="C537" s="219"/>
      <c r="D537" s="219"/>
      <c r="E537" s="220"/>
      <c r="F537" s="220"/>
      <c r="G537" s="221"/>
      <c r="H537" s="221"/>
      <c r="I537" s="221"/>
      <c r="J537" s="221"/>
      <c r="K537" s="221"/>
      <c r="L537" s="220"/>
      <c r="M537" s="222"/>
    </row>
    <row r="538" spans="1:13" ht="12" customHeight="1">
      <c r="A538" s="223"/>
      <c r="B538" s="219"/>
      <c r="C538" s="219"/>
      <c r="D538" s="219"/>
      <c r="E538" s="220"/>
      <c r="F538" s="220"/>
      <c r="G538" s="221"/>
      <c r="H538" s="221"/>
      <c r="I538" s="221"/>
      <c r="J538" s="221"/>
      <c r="K538" s="221"/>
      <c r="L538" s="220"/>
      <c r="M538" s="222"/>
    </row>
    <row r="539" spans="1:13" ht="12" customHeight="1">
      <c r="A539" s="223"/>
      <c r="B539" s="219"/>
      <c r="C539" s="219"/>
      <c r="D539" s="219"/>
      <c r="E539" s="220"/>
      <c r="F539" s="220"/>
      <c r="G539" s="221"/>
      <c r="H539" s="221"/>
      <c r="I539" s="221"/>
      <c r="J539" s="221"/>
      <c r="K539" s="221"/>
      <c r="L539" s="220"/>
      <c r="M539" s="222"/>
    </row>
    <row r="540" spans="1:13" ht="12" customHeight="1">
      <c r="A540" s="223"/>
      <c r="B540" s="219"/>
      <c r="C540" s="219"/>
      <c r="D540" s="219"/>
      <c r="E540" s="220"/>
      <c r="F540" s="220"/>
      <c r="G540" s="221"/>
      <c r="H540" s="221"/>
      <c r="I540" s="221"/>
      <c r="J540" s="221"/>
      <c r="K540" s="221"/>
      <c r="L540" s="220"/>
      <c r="M540" s="222"/>
    </row>
    <row r="541" spans="1:13" ht="12" customHeight="1">
      <c r="A541" s="223"/>
      <c r="B541" s="219"/>
      <c r="C541" s="219"/>
      <c r="D541" s="219"/>
      <c r="E541" s="220"/>
      <c r="F541" s="220"/>
      <c r="G541" s="221"/>
      <c r="H541" s="221"/>
      <c r="I541" s="221"/>
      <c r="J541" s="221"/>
      <c r="K541" s="221"/>
      <c r="L541" s="220"/>
      <c r="M541" s="222"/>
    </row>
    <row r="542" spans="1:13" ht="12" customHeight="1">
      <c r="A542" s="223"/>
      <c r="B542" s="219"/>
      <c r="C542" s="219"/>
      <c r="D542" s="219"/>
      <c r="E542" s="220"/>
      <c r="F542" s="220"/>
      <c r="G542" s="221"/>
      <c r="H542" s="221"/>
      <c r="I542" s="221"/>
      <c r="J542" s="221"/>
      <c r="K542" s="221"/>
      <c r="L542" s="220"/>
      <c r="M542" s="222"/>
    </row>
    <row r="543" spans="1:13" ht="12" customHeight="1">
      <c r="A543" s="223"/>
      <c r="B543" s="219"/>
      <c r="C543" s="219"/>
      <c r="D543" s="219"/>
      <c r="E543" s="220"/>
      <c r="F543" s="220"/>
      <c r="G543" s="221"/>
      <c r="H543" s="221"/>
      <c r="I543" s="221"/>
      <c r="J543" s="221"/>
      <c r="K543" s="221"/>
      <c r="L543" s="220"/>
      <c r="M543" s="222"/>
    </row>
    <row r="544" spans="1:13" ht="12" customHeight="1">
      <c r="A544" s="223"/>
      <c r="B544" s="219"/>
      <c r="C544" s="219"/>
      <c r="D544" s="219"/>
      <c r="E544" s="220"/>
      <c r="F544" s="220"/>
      <c r="G544" s="221"/>
      <c r="H544" s="221"/>
      <c r="I544" s="221"/>
      <c r="J544" s="221"/>
      <c r="K544" s="221"/>
      <c r="L544" s="220"/>
      <c r="M544" s="222"/>
    </row>
    <row r="545" spans="1:13" ht="12" customHeight="1">
      <c r="A545" s="223"/>
      <c r="B545" s="219"/>
      <c r="C545" s="219"/>
      <c r="D545" s="219"/>
      <c r="E545" s="220"/>
      <c r="F545" s="220"/>
      <c r="G545" s="221"/>
      <c r="H545" s="221"/>
      <c r="I545" s="221"/>
      <c r="J545" s="221"/>
      <c r="K545" s="221"/>
      <c r="L545" s="220"/>
      <c r="M545" s="222"/>
    </row>
    <row r="546" spans="1:13" ht="12" customHeight="1">
      <c r="A546" s="223"/>
      <c r="B546" s="219"/>
      <c r="C546" s="219"/>
      <c r="D546" s="219"/>
      <c r="E546" s="220"/>
      <c r="F546" s="220"/>
      <c r="G546" s="221"/>
      <c r="H546" s="221"/>
      <c r="I546" s="221"/>
      <c r="J546" s="221"/>
      <c r="K546" s="221"/>
      <c r="L546" s="220"/>
      <c r="M546" s="222"/>
    </row>
    <row r="547" spans="1:13" ht="12" customHeight="1">
      <c r="A547" s="223"/>
      <c r="B547" s="219"/>
      <c r="C547" s="219"/>
      <c r="D547" s="219"/>
      <c r="E547" s="220"/>
      <c r="F547" s="220"/>
      <c r="G547" s="221"/>
      <c r="H547" s="221"/>
      <c r="I547" s="221"/>
      <c r="J547" s="221"/>
      <c r="K547" s="221"/>
      <c r="L547" s="220"/>
      <c r="M547" s="222"/>
    </row>
    <row r="548" spans="1:13" ht="12" customHeight="1">
      <c r="A548" s="223"/>
      <c r="B548" s="219"/>
      <c r="C548" s="219"/>
      <c r="D548" s="219"/>
      <c r="E548" s="220"/>
      <c r="F548" s="220"/>
      <c r="G548" s="221"/>
      <c r="H548" s="221"/>
      <c r="I548" s="221"/>
      <c r="J548" s="221"/>
      <c r="K548" s="221"/>
      <c r="L548" s="220"/>
      <c r="M548" s="222"/>
    </row>
    <row r="549" spans="1:13" ht="12" customHeight="1">
      <c r="A549" s="223"/>
      <c r="B549" s="219"/>
      <c r="C549" s="219"/>
      <c r="D549" s="219"/>
      <c r="E549" s="220"/>
      <c r="F549" s="220"/>
      <c r="G549" s="221"/>
      <c r="H549" s="221"/>
      <c r="I549" s="221"/>
      <c r="J549" s="221"/>
      <c r="K549" s="221"/>
      <c r="L549" s="220"/>
      <c r="M549" s="222"/>
    </row>
    <row r="550" spans="1:13" ht="12" customHeight="1">
      <c r="A550" s="223"/>
      <c r="B550" s="219"/>
      <c r="C550" s="219"/>
      <c r="D550" s="219"/>
      <c r="E550" s="220"/>
      <c r="F550" s="220"/>
      <c r="G550" s="221"/>
      <c r="H550" s="221"/>
      <c r="I550" s="221"/>
      <c r="J550" s="221"/>
      <c r="K550" s="221"/>
      <c r="L550" s="220"/>
      <c r="M550" s="222"/>
    </row>
    <row r="551" spans="1:13" ht="12" customHeight="1">
      <c r="A551" s="223"/>
      <c r="B551" s="219"/>
      <c r="C551" s="219"/>
      <c r="D551" s="219"/>
      <c r="E551" s="220"/>
      <c r="F551" s="220"/>
      <c r="G551" s="221"/>
      <c r="H551" s="221"/>
      <c r="I551" s="221"/>
      <c r="J551" s="221"/>
      <c r="K551" s="221"/>
      <c r="L551" s="220"/>
      <c r="M551" s="222"/>
    </row>
    <row r="552" spans="1:13" ht="12" customHeight="1">
      <c r="A552" s="223"/>
      <c r="B552" s="219"/>
      <c r="C552" s="219"/>
      <c r="D552" s="219"/>
      <c r="E552" s="220"/>
      <c r="F552" s="220"/>
      <c r="G552" s="221"/>
      <c r="H552" s="221"/>
      <c r="I552" s="221"/>
      <c r="J552" s="221"/>
      <c r="K552" s="221"/>
      <c r="L552" s="220"/>
      <c r="M552" s="222"/>
    </row>
    <row r="553" spans="1:13" ht="12" customHeight="1">
      <c r="A553" s="223"/>
      <c r="B553" s="219"/>
      <c r="C553" s="219"/>
      <c r="D553" s="219"/>
      <c r="E553" s="220"/>
      <c r="F553" s="220"/>
      <c r="G553" s="221"/>
      <c r="H553" s="221"/>
      <c r="I553" s="221"/>
      <c r="J553" s="221"/>
      <c r="K553" s="221"/>
      <c r="L553" s="220"/>
      <c r="M553" s="222"/>
    </row>
    <row r="554" spans="1:13" ht="12" customHeight="1">
      <c r="A554" s="223"/>
      <c r="B554" s="219"/>
      <c r="C554" s="219"/>
      <c r="D554" s="219"/>
      <c r="E554" s="220"/>
      <c r="F554" s="220"/>
      <c r="G554" s="221"/>
      <c r="H554" s="221"/>
      <c r="I554" s="221"/>
      <c r="J554" s="221"/>
      <c r="K554" s="221"/>
      <c r="L554" s="220"/>
      <c r="M554" s="222"/>
    </row>
    <row r="555" spans="1:13" ht="12" customHeight="1">
      <c r="A555" s="223"/>
      <c r="B555" s="219"/>
      <c r="C555" s="219"/>
      <c r="D555" s="219"/>
      <c r="E555" s="220"/>
      <c r="F555" s="220"/>
      <c r="G555" s="221"/>
      <c r="H555" s="221"/>
      <c r="I555" s="221"/>
      <c r="J555" s="221"/>
      <c r="K555" s="221"/>
      <c r="L555" s="220"/>
      <c r="M555" s="222"/>
    </row>
    <row r="556" spans="1:13" ht="12" customHeight="1">
      <c r="A556" s="223"/>
      <c r="B556" s="219"/>
      <c r="C556" s="219"/>
      <c r="D556" s="219"/>
      <c r="E556" s="220"/>
      <c r="F556" s="220"/>
      <c r="G556" s="221"/>
      <c r="H556" s="221"/>
      <c r="I556" s="221"/>
      <c r="J556" s="221"/>
      <c r="K556" s="221"/>
      <c r="L556" s="220"/>
      <c r="M556" s="222"/>
    </row>
    <row r="557" spans="1:13" ht="12" customHeight="1">
      <c r="A557" s="223"/>
      <c r="B557" s="219"/>
      <c r="C557" s="219"/>
      <c r="D557" s="219"/>
      <c r="E557" s="220"/>
      <c r="F557" s="220"/>
      <c r="G557" s="221"/>
      <c r="H557" s="221"/>
      <c r="I557" s="221"/>
      <c r="J557" s="221"/>
      <c r="K557" s="221"/>
      <c r="L557" s="220"/>
      <c r="M557" s="222"/>
    </row>
    <row r="558" spans="1:13" ht="12" customHeight="1">
      <c r="A558" s="223"/>
      <c r="B558" s="219"/>
      <c r="C558" s="219"/>
      <c r="D558" s="219"/>
      <c r="E558" s="220"/>
      <c r="F558" s="220"/>
      <c r="G558" s="221"/>
      <c r="H558" s="221"/>
      <c r="I558" s="221"/>
      <c r="J558" s="221"/>
      <c r="K558" s="221"/>
      <c r="L558" s="220"/>
      <c r="M558" s="222"/>
    </row>
    <row r="559" spans="1:13" ht="12" customHeight="1">
      <c r="A559" s="223"/>
      <c r="B559" s="219"/>
      <c r="C559" s="219"/>
      <c r="D559" s="219"/>
      <c r="E559" s="220"/>
      <c r="F559" s="220"/>
      <c r="G559" s="221"/>
      <c r="H559" s="221"/>
      <c r="I559" s="221"/>
      <c r="J559" s="221"/>
      <c r="K559" s="221"/>
      <c r="L559" s="220"/>
      <c r="M559" s="222"/>
    </row>
    <row r="560" spans="1:13" ht="12" customHeight="1">
      <c r="A560" s="223"/>
      <c r="B560" s="219"/>
      <c r="C560" s="219"/>
      <c r="D560" s="219"/>
      <c r="E560" s="220"/>
      <c r="F560" s="220"/>
      <c r="G560" s="221"/>
      <c r="H560" s="221"/>
      <c r="I560" s="221"/>
      <c r="J560" s="221"/>
      <c r="K560" s="221"/>
      <c r="L560" s="220"/>
      <c r="M560" s="222"/>
    </row>
    <row r="561" spans="1:13" ht="12" customHeight="1">
      <c r="A561" s="223"/>
      <c r="B561" s="219"/>
      <c r="C561" s="219"/>
      <c r="D561" s="219"/>
      <c r="E561" s="220"/>
      <c r="F561" s="220"/>
      <c r="G561" s="221"/>
      <c r="H561" s="221"/>
      <c r="I561" s="221"/>
      <c r="J561" s="221"/>
      <c r="K561" s="221"/>
      <c r="L561" s="220"/>
      <c r="M561" s="222"/>
    </row>
    <row r="562" spans="1:13" ht="12" customHeight="1">
      <c r="A562" s="223"/>
      <c r="B562" s="219"/>
      <c r="C562" s="219"/>
      <c r="D562" s="219"/>
      <c r="E562" s="220"/>
      <c r="F562" s="220"/>
      <c r="G562" s="221"/>
      <c r="H562" s="221"/>
      <c r="I562" s="221"/>
      <c r="J562" s="221"/>
      <c r="K562" s="221"/>
      <c r="L562" s="220"/>
      <c r="M562" s="222"/>
    </row>
    <row r="563" spans="1:13" ht="12" customHeight="1">
      <c r="A563" s="223"/>
      <c r="B563" s="219"/>
      <c r="C563" s="219"/>
      <c r="D563" s="219"/>
      <c r="E563" s="220"/>
      <c r="F563" s="220"/>
      <c r="G563" s="221"/>
      <c r="H563" s="221"/>
      <c r="I563" s="221"/>
      <c r="J563" s="221"/>
      <c r="K563" s="221"/>
      <c r="L563" s="220"/>
      <c r="M563" s="222"/>
    </row>
    <row r="564" spans="1:13" ht="12" customHeight="1">
      <c r="A564" s="223"/>
      <c r="B564" s="219"/>
      <c r="C564" s="219"/>
      <c r="D564" s="219"/>
      <c r="E564" s="220"/>
      <c r="F564" s="220"/>
      <c r="G564" s="221"/>
      <c r="H564" s="221"/>
      <c r="I564" s="221"/>
      <c r="J564" s="221"/>
      <c r="K564" s="221"/>
      <c r="L564" s="220"/>
      <c r="M564" s="222"/>
    </row>
    <row r="565" spans="1:13" ht="12" customHeight="1">
      <c r="A565" s="223"/>
      <c r="B565" s="219"/>
      <c r="C565" s="219"/>
      <c r="D565" s="219"/>
      <c r="E565" s="220"/>
      <c r="F565" s="220"/>
      <c r="G565" s="221"/>
      <c r="H565" s="221"/>
      <c r="I565" s="221"/>
      <c r="J565" s="221"/>
      <c r="K565" s="221"/>
      <c r="L565" s="220"/>
      <c r="M565" s="222"/>
    </row>
    <row r="566" spans="1:13" ht="12" customHeight="1">
      <c r="A566" s="223"/>
      <c r="B566" s="219"/>
      <c r="C566" s="219"/>
      <c r="D566" s="219"/>
      <c r="E566" s="220"/>
      <c r="F566" s="220"/>
      <c r="G566" s="221"/>
      <c r="H566" s="221"/>
      <c r="I566" s="221"/>
      <c r="J566" s="221"/>
      <c r="K566" s="221"/>
      <c r="L566" s="220"/>
      <c r="M566" s="222"/>
    </row>
    <row r="567" spans="1:13" ht="12" customHeight="1">
      <c r="A567" s="223"/>
      <c r="B567" s="219"/>
      <c r="C567" s="219"/>
      <c r="D567" s="219"/>
      <c r="E567" s="220"/>
      <c r="F567" s="220"/>
      <c r="G567" s="221"/>
      <c r="H567" s="221"/>
      <c r="I567" s="221"/>
      <c r="J567" s="221"/>
      <c r="K567" s="221"/>
      <c r="L567" s="220"/>
      <c r="M567" s="222"/>
    </row>
    <row r="568" spans="1:13" ht="12" customHeight="1">
      <c r="A568" s="223"/>
      <c r="B568" s="219"/>
      <c r="C568" s="219"/>
      <c r="D568" s="219"/>
      <c r="E568" s="220"/>
      <c r="F568" s="220"/>
      <c r="G568" s="221"/>
      <c r="H568" s="221"/>
      <c r="I568" s="221"/>
      <c r="J568" s="221"/>
      <c r="K568" s="221"/>
      <c r="L568" s="220"/>
      <c r="M568" s="222"/>
    </row>
    <row r="569" spans="1:13" ht="12" customHeight="1">
      <c r="A569" s="223"/>
      <c r="B569" s="219"/>
      <c r="C569" s="219"/>
      <c r="D569" s="219"/>
      <c r="E569" s="220"/>
      <c r="F569" s="220"/>
      <c r="G569" s="221"/>
      <c r="H569" s="221"/>
      <c r="I569" s="221"/>
      <c r="J569" s="221"/>
      <c r="K569" s="221"/>
      <c r="L569" s="220"/>
      <c r="M569" s="222"/>
    </row>
    <row r="570" spans="1:13" ht="12" customHeight="1">
      <c r="A570" s="223"/>
      <c r="B570" s="219"/>
      <c r="C570" s="219"/>
      <c r="D570" s="219"/>
      <c r="E570" s="220"/>
      <c r="F570" s="220"/>
      <c r="G570" s="221"/>
      <c r="H570" s="221"/>
      <c r="I570" s="221"/>
      <c r="J570" s="221"/>
      <c r="K570" s="221"/>
      <c r="L570" s="220"/>
      <c r="M570" s="222"/>
    </row>
    <row r="571" spans="1:13" ht="12" customHeight="1">
      <c r="A571" s="223"/>
      <c r="B571" s="219"/>
      <c r="C571" s="219"/>
      <c r="D571" s="219"/>
      <c r="E571" s="220"/>
      <c r="F571" s="220"/>
      <c r="G571" s="221"/>
      <c r="H571" s="221"/>
      <c r="I571" s="221"/>
      <c r="J571" s="221"/>
      <c r="K571" s="221"/>
      <c r="L571" s="220"/>
      <c r="M571" s="222"/>
    </row>
    <row r="572" spans="1:13" ht="12" customHeight="1">
      <c r="A572" s="223"/>
      <c r="B572" s="219"/>
      <c r="C572" s="219"/>
      <c r="D572" s="219"/>
      <c r="E572" s="220"/>
      <c r="F572" s="220"/>
      <c r="G572" s="221"/>
      <c r="H572" s="221"/>
      <c r="I572" s="221"/>
      <c r="J572" s="221"/>
      <c r="K572" s="221"/>
      <c r="L572" s="220"/>
      <c r="M572" s="222"/>
    </row>
    <row r="573" spans="1:13" ht="12" customHeight="1">
      <c r="A573" s="223"/>
      <c r="B573" s="219"/>
      <c r="C573" s="219"/>
      <c r="D573" s="219"/>
      <c r="E573" s="220"/>
      <c r="F573" s="220"/>
      <c r="G573" s="221"/>
      <c r="H573" s="221"/>
      <c r="I573" s="221"/>
      <c r="J573" s="221"/>
      <c r="K573" s="221"/>
      <c r="L573" s="220"/>
      <c r="M573" s="222"/>
    </row>
    <row r="574" spans="1:13" ht="12" customHeight="1">
      <c r="A574" s="223"/>
      <c r="B574" s="219"/>
      <c r="C574" s="219"/>
      <c r="D574" s="219"/>
      <c r="E574" s="220"/>
      <c r="F574" s="220"/>
      <c r="G574" s="221"/>
      <c r="H574" s="221"/>
      <c r="I574" s="221"/>
      <c r="J574" s="221"/>
      <c r="K574" s="221"/>
      <c r="L574" s="220"/>
      <c r="M574" s="222"/>
    </row>
    <row r="575" spans="1:13" ht="12" customHeight="1">
      <c r="A575" s="223"/>
      <c r="B575" s="219"/>
      <c r="C575" s="219"/>
      <c r="D575" s="219"/>
      <c r="E575" s="220"/>
      <c r="F575" s="220"/>
      <c r="G575" s="221"/>
      <c r="H575" s="221"/>
      <c r="I575" s="221"/>
      <c r="J575" s="221"/>
      <c r="K575" s="221"/>
      <c r="L575" s="220"/>
      <c r="M575" s="222"/>
    </row>
    <row r="576" spans="1:13" ht="12" customHeight="1">
      <c r="A576" s="223"/>
      <c r="B576" s="219"/>
      <c r="C576" s="219"/>
      <c r="D576" s="219"/>
      <c r="E576" s="220"/>
      <c r="F576" s="220"/>
      <c r="G576" s="221"/>
      <c r="H576" s="221"/>
      <c r="I576" s="221"/>
      <c r="J576" s="221"/>
      <c r="K576" s="221"/>
      <c r="L576" s="220"/>
      <c r="M576" s="222"/>
    </row>
    <row r="577" spans="1:13" ht="12" customHeight="1">
      <c r="A577" s="223"/>
      <c r="B577" s="219"/>
      <c r="C577" s="219"/>
      <c r="D577" s="219"/>
      <c r="E577" s="220"/>
      <c r="F577" s="220"/>
      <c r="G577" s="221"/>
      <c r="H577" s="221"/>
      <c r="I577" s="221"/>
      <c r="J577" s="221"/>
      <c r="K577" s="221"/>
      <c r="L577" s="220"/>
      <c r="M577" s="222"/>
    </row>
    <row r="578" spans="1:13" ht="12" customHeight="1">
      <c r="A578" s="223"/>
      <c r="B578" s="219"/>
      <c r="C578" s="219"/>
      <c r="D578" s="219"/>
      <c r="E578" s="220"/>
      <c r="F578" s="220"/>
      <c r="G578" s="221"/>
      <c r="H578" s="221"/>
      <c r="I578" s="221"/>
      <c r="J578" s="221"/>
      <c r="K578" s="221"/>
      <c r="L578" s="220"/>
      <c r="M578" s="222"/>
    </row>
    <row r="579" spans="1:13" ht="12" customHeight="1">
      <c r="A579" s="223"/>
      <c r="B579" s="219"/>
      <c r="C579" s="219"/>
      <c r="D579" s="219"/>
      <c r="E579" s="220"/>
      <c r="F579" s="220"/>
      <c r="G579" s="221"/>
      <c r="H579" s="221"/>
      <c r="I579" s="221"/>
      <c r="J579" s="221"/>
      <c r="K579" s="221"/>
      <c r="L579" s="220"/>
      <c r="M579" s="222"/>
    </row>
    <row r="580" spans="1:13" ht="12" customHeight="1">
      <c r="A580" s="223"/>
      <c r="B580" s="219"/>
      <c r="C580" s="219"/>
      <c r="D580" s="219"/>
      <c r="E580" s="220"/>
      <c r="F580" s="220"/>
      <c r="G580" s="221"/>
      <c r="H580" s="221"/>
      <c r="I580" s="221"/>
      <c r="J580" s="221"/>
      <c r="K580" s="221"/>
      <c r="L580" s="220"/>
      <c r="M580" s="222"/>
    </row>
    <row r="581" spans="1:13" ht="12" customHeight="1">
      <c r="A581" s="223"/>
      <c r="B581" s="219"/>
      <c r="C581" s="219"/>
      <c r="D581" s="219"/>
      <c r="E581" s="220"/>
      <c r="F581" s="220"/>
      <c r="G581" s="221"/>
      <c r="H581" s="221"/>
      <c r="I581" s="221"/>
      <c r="J581" s="221"/>
      <c r="K581" s="221"/>
      <c r="L581" s="220"/>
      <c r="M581" s="222"/>
    </row>
    <row r="582" spans="1:13" ht="12" customHeight="1">
      <c r="A582" s="223"/>
      <c r="B582" s="219"/>
      <c r="C582" s="219"/>
      <c r="D582" s="219"/>
      <c r="E582" s="220"/>
      <c r="F582" s="220"/>
      <c r="G582" s="221"/>
      <c r="H582" s="221"/>
      <c r="I582" s="221"/>
      <c r="J582" s="221"/>
      <c r="K582" s="221"/>
      <c r="L582" s="220"/>
      <c r="M582" s="222"/>
    </row>
    <row r="583" spans="1:13" ht="12" customHeight="1">
      <c r="A583" s="223"/>
      <c r="B583" s="219"/>
      <c r="C583" s="219"/>
      <c r="D583" s="219"/>
      <c r="E583" s="220"/>
      <c r="F583" s="220"/>
      <c r="G583" s="221"/>
      <c r="H583" s="221"/>
      <c r="I583" s="221"/>
      <c r="J583" s="221"/>
      <c r="K583" s="221"/>
      <c r="L583" s="220"/>
      <c r="M583" s="222"/>
    </row>
    <row r="584" spans="1:13" ht="12" customHeight="1">
      <c r="A584" s="223"/>
      <c r="B584" s="219"/>
      <c r="C584" s="219"/>
      <c r="D584" s="219"/>
      <c r="E584" s="220"/>
      <c r="F584" s="220"/>
      <c r="G584" s="221"/>
      <c r="H584" s="221"/>
      <c r="I584" s="221"/>
      <c r="J584" s="221"/>
      <c r="K584" s="221"/>
      <c r="L584" s="220"/>
      <c r="M584" s="222"/>
    </row>
    <row r="585" spans="1:13" ht="12" customHeight="1">
      <c r="A585" s="223"/>
      <c r="B585" s="219"/>
      <c r="C585" s="219"/>
      <c r="D585" s="219"/>
      <c r="E585" s="220"/>
      <c r="F585" s="220"/>
      <c r="G585" s="221"/>
      <c r="H585" s="221"/>
      <c r="I585" s="221"/>
      <c r="J585" s="221"/>
      <c r="K585" s="221"/>
      <c r="L585" s="220"/>
      <c r="M585" s="222"/>
    </row>
    <row r="586" spans="1:13" ht="12" customHeight="1">
      <c r="A586" s="223"/>
      <c r="B586" s="219"/>
      <c r="C586" s="219"/>
      <c r="D586" s="219"/>
      <c r="E586" s="220"/>
      <c r="F586" s="220"/>
      <c r="G586" s="221"/>
      <c r="H586" s="221"/>
      <c r="I586" s="221"/>
      <c r="J586" s="221"/>
      <c r="K586" s="221"/>
      <c r="L586" s="220"/>
      <c r="M586" s="222"/>
    </row>
    <row r="587" spans="1:13" ht="12" customHeight="1">
      <c r="A587" s="223"/>
      <c r="B587" s="219"/>
      <c r="C587" s="219"/>
      <c r="D587" s="219"/>
      <c r="E587" s="220"/>
      <c r="F587" s="220"/>
      <c r="G587" s="221"/>
      <c r="H587" s="221"/>
      <c r="I587" s="221"/>
      <c r="J587" s="221"/>
      <c r="K587" s="221"/>
      <c r="L587" s="220"/>
      <c r="M587" s="222"/>
    </row>
    <row r="588" spans="1:13" ht="12" customHeight="1">
      <c r="A588" s="223"/>
      <c r="B588" s="219"/>
      <c r="C588" s="219"/>
      <c r="D588" s="219"/>
      <c r="E588" s="220"/>
      <c r="F588" s="220"/>
      <c r="G588" s="221"/>
      <c r="H588" s="221"/>
      <c r="I588" s="221"/>
      <c r="J588" s="221"/>
      <c r="K588" s="221"/>
      <c r="L588" s="220"/>
      <c r="M588" s="222"/>
    </row>
    <row r="589" spans="1:13" ht="12" customHeight="1">
      <c r="A589" s="223"/>
      <c r="B589" s="219"/>
      <c r="C589" s="219"/>
      <c r="D589" s="219"/>
      <c r="E589" s="220"/>
      <c r="F589" s="220"/>
      <c r="G589" s="221"/>
      <c r="H589" s="221"/>
      <c r="I589" s="221"/>
      <c r="J589" s="221"/>
      <c r="K589" s="221"/>
      <c r="L589" s="220"/>
      <c r="M589" s="222"/>
    </row>
    <row r="590" spans="1:13" ht="12" customHeight="1">
      <c r="A590" s="223"/>
      <c r="B590" s="219"/>
      <c r="C590" s="219"/>
      <c r="D590" s="219"/>
      <c r="E590" s="220"/>
      <c r="F590" s="220"/>
      <c r="G590" s="221"/>
      <c r="H590" s="221"/>
      <c r="I590" s="221"/>
      <c r="J590" s="221"/>
      <c r="K590" s="221"/>
      <c r="L590" s="220"/>
      <c r="M590" s="222"/>
    </row>
    <row r="591" spans="1:13" ht="12" customHeight="1">
      <c r="A591" s="223"/>
      <c r="B591" s="219"/>
      <c r="C591" s="219"/>
      <c r="D591" s="219"/>
      <c r="E591" s="220"/>
      <c r="F591" s="220"/>
      <c r="G591" s="221"/>
      <c r="H591" s="221"/>
      <c r="I591" s="221"/>
      <c r="J591" s="221"/>
      <c r="K591" s="221"/>
      <c r="L591" s="220"/>
      <c r="M591" s="222"/>
    </row>
    <row r="592" spans="1:13" ht="12" customHeight="1">
      <c r="A592" s="223"/>
      <c r="B592" s="219"/>
      <c r="C592" s="219"/>
      <c r="D592" s="219"/>
      <c r="E592" s="220"/>
      <c r="F592" s="220"/>
      <c r="G592" s="221"/>
      <c r="H592" s="221"/>
      <c r="I592" s="221"/>
      <c r="J592" s="221"/>
      <c r="K592" s="221"/>
      <c r="L592" s="220"/>
      <c r="M592" s="222"/>
    </row>
    <row r="593" spans="1:13" ht="12" customHeight="1">
      <c r="A593" s="223"/>
      <c r="B593" s="219"/>
      <c r="C593" s="219"/>
      <c r="D593" s="219"/>
      <c r="E593" s="220"/>
      <c r="F593" s="220"/>
      <c r="G593" s="221"/>
      <c r="H593" s="221"/>
      <c r="I593" s="221"/>
      <c r="J593" s="221"/>
      <c r="K593" s="221"/>
      <c r="L593" s="220"/>
      <c r="M593" s="222"/>
    </row>
    <row r="594" spans="1:13" ht="12" customHeight="1">
      <c r="A594" s="223"/>
      <c r="B594" s="219"/>
      <c r="C594" s="219"/>
      <c r="D594" s="219"/>
      <c r="E594" s="220"/>
      <c r="F594" s="220"/>
      <c r="G594" s="221"/>
      <c r="H594" s="221"/>
      <c r="I594" s="221"/>
      <c r="J594" s="221"/>
      <c r="K594" s="221"/>
      <c r="L594" s="220"/>
      <c r="M594" s="222"/>
    </row>
    <row r="595" spans="1:13" ht="12" customHeight="1">
      <c r="A595" s="223"/>
      <c r="B595" s="219"/>
      <c r="C595" s="219"/>
      <c r="D595" s="219"/>
      <c r="E595" s="220"/>
      <c r="F595" s="220"/>
      <c r="G595" s="221"/>
      <c r="H595" s="221"/>
      <c r="I595" s="221"/>
      <c r="J595" s="221"/>
      <c r="K595" s="221"/>
      <c r="L595" s="220"/>
      <c r="M595" s="222"/>
    </row>
    <row r="596" spans="1:13" ht="12" customHeight="1">
      <c r="A596" s="223"/>
      <c r="B596" s="219"/>
      <c r="C596" s="219"/>
      <c r="D596" s="219"/>
      <c r="E596" s="220"/>
      <c r="F596" s="220"/>
      <c r="G596" s="221"/>
      <c r="H596" s="221"/>
      <c r="I596" s="221"/>
      <c r="J596" s="221"/>
      <c r="K596" s="221"/>
      <c r="L596" s="220"/>
      <c r="M596" s="222"/>
    </row>
    <row r="597" spans="1:13" ht="12" customHeight="1">
      <c r="A597" s="223"/>
      <c r="B597" s="219"/>
      <c r="C597" s="219"/>
      <c r="D597" s="219"/>
      <c r="E597" s="220"/>
      <c r="F597" s="220"/>
      <c r="G597" s="221"/>
      <c r="H597" s="221"/>
      <c r="I597" s="221"/>
      <c r="J597" s="221"/>
      <c r="K597" s="221"/>
      <c r="L597" s="220"/>
      <c r="M597" s="222"/>
    </row>
    <row r="598" spans="1:13" ht="12" customHeight="1">
      <c r="A598" s="223"/>
      <c r="B598" s="219"/>
      <c r="C598" s="219"/>
      <c r="D598" s="219"/>
      <c r="E598" s="220"/>
      <c r="F598" s="220"/>
      <c r="G598" s="221"/>
      <c r="H598" s="221"/>
      <c r="I598" s="221"/>
      <c r="J598" s="221"/>
      <c r="K598" s="221"/>
      <c r="L598" s="220"/>
      <c r="M598" s="222"/>
    </row>
    <row r="599" spans="1:13" ht="12" customHeight="1">
      <c r="A599" s="223"/>
      <c r="B599" s="219"/>
      <c r="C599" s="219"/>
      <c r="D599" s="219"/>
      <c r="E599" s="220"/>
      <c r="F599" s="220"/>
      <c r="G599" s="221"/>
      <c r="H599" s="221"/>
      <c r="I599" s="221"/>
      <c r="J599" s="221"/>
      <c r="K599" s="221"/>
      <c r="L599" s="220"/>
      <c r="M599" s="222"/>
    </row>
    <row r="600" spans="1:13" ht="12" customHeight="1">
      <c r="A600" s="223"/>
      <c r="B600" s="219"/>
      <c r="C600" s="219"/>
      <c r="D600" s="219"/>
      <c r="E600" s="220"/>
      <c r="F600" s="220"/>
      <c r="G600" s="221"/>
      <c r="H600" s="221"/>
      <c r="I600" s="221"/>
      <c r="J600" s="221"/>
      <c r="K600" s="221"/>
      <c r="L600" s="220"/>
      <c r="M600" s="222"/>
    </row>
    <row r="601" spans="1:13" ht="12" customHeight="1">
      <c r="A601" s="223"/>
      <c r="B601" s="219"/>
      <c r="C601" s="219"/>
      <c r="D601" s="219"/>
      <c r="E601" s="220"/>
      <c r="F601" s="220"/>
      <c r="G601" s="221"/>
      <c r="H601" s="221"/>
      <c r="I601" s="221"/>
      <c r="J601" s="221"/>
      <c r="K601" s="221"/>
      <c r="L601" s="220"/>
      <c r="M601" s="222"/>
    </row>
    <row r="602" spans="1:13" ht="12" customHeight="1">
      <c r="A602" s="223"/>
      <c r="B602" s="219"/>
      <c r="C602" s="219"/>
      <c r="D602" s="219"/>
      <c r="E602" s="220"/>
      <c r="F602" s="220"/>
      <c r="G602" s="221"/>
      <c r="H602" s="221"/>
      <c r="I602" s="221"/>
      <c r="J602" s="221"/>
      <c r="K602" s="221"/>
      <c r="L602" s="220"/>
      <c r="M602" s="222"/>
    </row>
    <row r="603" spans="1:13" ht="12" customHeight="1">
      <c r="A603" s="223"/>
      <c r="B603" s="219"/>
      <c r="C603" s="219"/>
      <c r="D603" s="219"/>
      <c r="E603" s="220"/>
      <c r="F603" s="220"/>
      <c r="G603" s="221"/>
      <c r="H603" s="221"/>
      <c r="I603" s="221"/>
      <c r="J603" s="221"/>
      <c r="K603" s="221"/>
      <c r="L603" s="220"/>
      <c r="M603" s="222"/>
    </row>
    <row r="604" spans="1:13" ht="12" customHeight="1">
      <c r="A604" s="223"/>
      <c r="B604" s="219"/>
      <c r="C604" s="219"/>
      <c r="D604" s="219"/>
      <c r="E604" s="220"/>
      <c r="F604" s="220"/>
      <c r="G604" s="221"/>
      <c r="H604" s="221"/>
      <c r="I604" s="221"/>
      <c r="J604" s="221"/>
      <c r="K604" s="221"/>
      <c r="L604" s="220"/>
      <c r="M604" s="222"/>
    </row>
    <row r="605" spans="1:13" ht="12" customHeight="1">
      <c r="A605" s="223"/>
      <c r="B605" s="219"/>
      <c r="C605" s="219"/>
      <c r="D605" s="219"/>
      <c r="E605" s="220"/>
      <c r="F605" s="220"/>
      <c r="G605" s="221"/>
      <c r="H605" s="221"/>
      <c r="I605" s="221"/>
      <c r="J605" s="221"/>
      <c r="K605" s="221"/>
      <c r="L605" s="220"/>
      <c r="M605" s="222"/>
    </row>
    <row r="606" spans="1:13" ht="12" customHeight="1">
      <c r="A606" s="223"/>
      <c r="B606" s="219"/>
      <c r="C606" s="219"/>
      <c r="D606" s="219"/>
      <c r="E606" s="220"/>
      <c r="F606" s="220"/>
      <c r="G606" s="221"/>
      <c r="H606" s="221"/>
      <c r="I606" s="221"/>
      <c r="J606" s="221"/>
      <c r="K606" s="221"/>
      <c r="L606" s="220"/>
      <c r="M606" s="222"/>
    </row>
    <row r="607" spans="1:13" ht="12" customHeight="1">
      <c r="A607" s="223"/>
      <c r="B607" s="219"/>
      <c r="C607" s="219"/>
      <c r="D607" s="219"/>
      <c r="E607" s="220"/>
      <c r="F607" s="220"/>
      <c r="G607" s="221"/>
      <c r="H607" s="221"/>
      <c r="I607" s="221"/>
      <c r="J607" s="221"/>
      <c r="K607" s="221"/>
      <c r="L607" s="220"/>
      <c r="M607" s="222"/>
    </row>
    <row r="608" spans="1:13" ht="12" customHeight="1">
      <c r="A608" s="223"/>
      <c r="B608" s="219"/>
      <c r="C608" s="219"/>
      <c r="D608" s="219"/>
      <c r="E608" s="220"/>
      <c r="F608" s="220"/>
      <c r="G608" s="221"/>
      <c r="H608" s="221"/>
      <c r="I608" s="221"/>
      <c r="J608" s="221"/>
      <c r="K608" s="221"/>
      <c r="L608" s="220"/>
      <c r="M608" s="222"/>
    </row>
    <row r="609" spans="1:13" ht="12" customHeight="1">
      <c r="A609" s="223"/>
      <c r="B609" s="219"/>
      <c r="C609" s="219"/>
      <c r="D609" s="219"/>
      <c r="E609" s="220"/>
      <c r="F609" s="220"/>
      <c r="G609" s="221"/>
      <c r="H609" s="221"/>
      <c r="I609" s="221"/>
      <c r="J609" s="221"/>
      <c r="K609" s="221"/>
      <c r="L609" s="220"/>
      <c r="M609" s="222"/>
    </row>
    <row r="610" spans="1:13" ht="12" customHeight="1">
      <c r="A610" s="223"/>
      <c r="B610" s="219"/>
      <c r="C610" s="219"/>
      <c r="D610" s="219"/>
      <c r="E610" s="220"/>
      <c r="F610" s="220"/>
      <c r="G610" s="221"/>
      <c r="H610" s="221"/>
      <c r="I610" s="221"/>
      <c r="J610" s="221"/>
      <c r="K610" s="221"/>
      <c r="L610" s="220"/>
      <c r="M610" s="222"/>
    </row>
    <row r="611" spans="1:13" ht="12" customHeight="1">
      <c r="A611" s="223"/>
      <c r="B611" s="219"/>
      <c r="C611" s="219"/>
      <c r="D611" s="219"/>
      <c r="E611" s="220"/>
      <c r="F611" s="220"/>
      <c r="G611" s="221"/>
      <c r="H611" s="221"/>
      <c r="I611" s="221"/>
      <c r="J611" s="221"/>
      <c r="K611" s="221"/>
      <c r="L611" s="220"/>
      <c r="M611" s="222"/>
    </row>
    <row r="612" spans="1:13" ht="12" customHeight="1">
      <c r="A612" s="223"/>
      <c r="B612" s="219"/>
      <c r="C612" s="219"/>
      <c r="D612" s="219"/>
      <c r="E612" s="220"/>
      <c r="F612" s="220"/>
      <c r="G612" s="221"/>
      <c r="H612" s="221"/>
      <c r="I612" s="221"/>
      <c r="J612" s="221"/>
      <c r="K612" s="221"/>
      <c r="L612" s="220"/>
      <c r="M612" s="222"/>
    </row>
    <row r="613" spans="1:13" ht="12" customHeight="1">
      <c r="A613" s="223"/>
      <c r="B613" s="219"/>
      <c r="C613" s="219"/>
      <c r="D613" s="219"/>
      <c r="E613" s="220"/>
      <c r="F613" s="220"/>
      <c r="G613" s="221"/>
      <c r="H613" s="221"/>
      <c r="I613" s="221"/>
      <c r="J613" s="221"/>
      <c r="K613" s="221"/>
      <c r="L613" s="220"/>
      <c r="M613" s="222"/>
    </row>
    <row r="614" spans="1:13" ht="12" customHeight="1">
      <c r="A614" s="223"/>
      <c r="B614" s="219"/>
      <c r="C614" s="219"/>
      <c r="D614" s="219"/>
      <c r="E614" s="220"/>
      <c r="F614" s="220"/>
      <c r="G614" s="221"/>
      <c r="H614" s="221"/>
      <c r="I614" s="221"/>
      <c r="J614" s="221"/>
      <c r="K614" s="221"/>
      <c r="L614" s="220"/>
      <c r="M614" s="222"/>
    </row>
    <row r="615" spans="1:13" ht="12" customHeight="1">
      <c r="A615" s="223"/>
      <c r="B615" s="219"/>
      <c r="C615" s="219"/>
      <c r="D615" s="219"/>
      <c r="E615" s="220"/>
      <c r="F615" s="220"/>
      <c r="G615" s="221"/>
      <c r="H615" s="221"/>
      <c r="I615" s="221"/>
      <c r="J615" s="221"/>
      <c r="K615" s="221"/>
      <c r="L615" s="220"/>
      <c r="M615" s="222"/>
    </row>
    <row r="616" spans="1:13" ht="12" customHeight="1">
      <c r="A616" s="223"/>
      <c r="B616" s="219"/>
      <c r="C616" s="219"/>
      <c r="D616" s="219"/>
      <c r="E616" s="220"/>
      <c r="F616" s="220"/>
      <c r="G616" s="221"/>
      <c r="H616" s="221"/>
      <c r="I616" s="221"/>
      <c r="J616" s="221"/>
      <c r="K616" s="221"/>
      <c r="L616" s="220"/>
      <c r="M616" s="222"/>
    </row>
    <row r="617" spans="1:13" ht="12" customHeight="1">
      <c r="A617" s="223"/>
      <c r="B617" s="219"/>
      <c r="C617" s="219"/>
      <c r="D617" s="219"/>
      <c r="E617" s="220"/>
      <c r="F617" s="220"/>
      <c r="G617" s="221"/>
      <c r="H617" s="221"/>
      <c r="I617" s="221"/>
      <c r="J617" s="221"/>
      <c r="K617" s="221"/>
      <c r="L617" s="220"/>
      <c r="M617" s="222"/>
    </row>
    <row r="618" spans="1:13" ht="12" customHeight="1">
      <c r="A618" s="223"/>
      <c r="B618" s="219"/>
      <c r="C618" s="219"/>
      <c r="D618" s="219"/>
      <c r="E618" s="220"/>
      <c r="F618" s="220"/>
      <c r="G618" s="221"/>
      <c r="H618" s="221"/>
      <c r="I618" s="221"/>
      <c r="J618" s="221"/>
      <c r="K618" s="221"/>
      <c r="L618" s="220"/>
      <c r="M618" s="222"/>
    </row>
    <row r="619" spans="1:13" ht="12" customHeight="1">
      <c r="A619" s="223"/>
      <c r="B619" s="219"/>
      <c r="C619" s="219"/>
      <c r="D619" s="219"/>
      <c r="E619" s="220"/>
      <c r="F619" s="220"/>
      <c r="G619" s="221"/>
      <c r="H619" s="221"/>
      <c r="I619" s="221"/>
      <c r="J619" s="221"/>
      <c r="K619" s="221"/>
      <c r="L619" s="220"/>
      <c r="M619" s="222"/>
    </row>
    <row r="620" spans="1:13" ht="12" customHeight="1">
      <c r="A620" s="223"/>
      <c r="B620" s="219"/>
      <c r="C620" s="219"/>
      <c r="D620" s="219"/>
      <c r="E620" s="220"/>
      <c r="F620" s="220"/>
      <c r="G620" s="221"/>
      <c r="H620" s="221"/>
      <c r="I620" s="221"/>
      <c r="J620" s="221"/>
      <c r="K620" s="221"/>
      <c r="L620" s="220"/>
      <c r="M620" s="222"/>
    </row>
    <row r="621" spans="1:13" ht="12" customHeight="1">
      <c r="A621" s="223"/>
      <c r="B621" s="219"/>
      <c r="C621" s="219"/>
      <c r="D621" s="219"/>
      <c r="E621" s="220"/>
      <c r="F621" s="220"/>
      <c r="G621" s="221"/>
      <c r="H621" s="221"/>
      <c r="I621" s="221"/>
      <c r="J621" s="221"/>
      <c r="K621" s="221"/>
      <c r="L621" s="220"/>
      <c r="M621" s="222"/>
    </row>
    <row r="622" spans="1:13" ht="12" customHeight="1">
      <c r="A622" s="223"/>
      <c r="B622" s="219"/>
      <c r="C622" s="219"/>
      <c r="D622" s="219"/>
      <c r="E622" s="220"/>
      <c r="F622" s="220"/>
      <c r="G622" s="221"/>
      <c r="H622" s="221"/>
      <c r="I622" s="221"/>
      <c r="J622" s="221"/>
      <c r="K622" s="221"/>
      <c r="L622" s="220"/>
      <c r="M622" s="222"/>
    </row>
    <row r="623" spans="1:13" ht="12" customHeight="1">
      <c r="A623" s="223"/>
      <c r="B623" s="219"/>
      <c r="C623" s="219"/>
      <c r="D623" s="219"/>
      <c r="E623" s="220"/>
      <c r="F623" s="220"/>
      <c r="G623" s="221"/>
      <c r="H623" s="221"/>
      <c r="I623" s="221"/>
      <c r="J623" s="221"/>
      <c r="K623" s="221"/>
      <c r="L623" s="220"/>
      <c r="M623" s="222"/>
    </row>
    <row r="624" spans="1:13" ht="12" customHeight="1">
      <c r="A624" s="223"/>
      <c r="B624" s="219"/>
      <c r="C624" s="219"/>
      <c r="D624" s="219"/>
      <c r="E624" s="220"/>
      <c r="F624" s="220"/>
      <c r="G624" s="221"/>
      <c r="H624" s="221"/>
      <c r="I624" s="221"/>
      <c r="J624" s="221"/>
      <c r="K624" s="221"/>
      <c r="L624" s="220"/>
      <c r="M624" s="222"/>
    </row>
    <row r="625" spans="1:13" ht="12" customHeight="1">
      <c r="A625" s="223"/>
      <c r="B625" s="219"/>
      <c r="C625" s="219"/>
      <c r="D625" s="219"/>
      <c r="E625" s="220"/>
      <c r="F625" s="220"/>
      <c r="G625" s="221"/>
      <c r="H625" s="221"/>
      <c r="I625" s="221"/>
      <c r="J625" s="221"/>
      <c r="K625" s="221"/>
      <c r="L625" s="220"/>
      <c r="M625" s="222"/>
    </row>
    <row r="626" spans="1:13" ht="12" customHeight="1">
      <c r="A626" s="223"/>
      <c r="B626" s="219"/>
      <c r="C626" s="219"/>
      <c r="D626" s="219"/>
      <c r="E626" s="220"/>
      <c r="F626" s="220"/>
      <c r="G626" s="221"/>
      <c r="H626" s="221"/>
      <c r="I626" s="221"/>
      <c r="J626" s="221"/>
      <c r="K626" s="221"/>
      <c r="L626" s="220"/>
      <c r="M626" s="222"/>
    </row>
    <row r="627" spans="1:13" ht="12" customHeight="1">
      <c r="A627" s="223"/>
      <c r="B627" s="219"/>
      <c r="C627" s="219"/>
      <c r="D627" s="219"/>
      <c r="E627" s="220"/>
      <c r="F627" s="220"/>
      <c r="G627" s="221"/>
      <c r="H627" s="221"/>
      <c r="I627" s="221"/>
      <c r="J627" s="221"/>
      <c r="K627" s="221"/>
      <c r="L627" s="220"/>
      <c r="M627" s="222"/>
    </row>
    <row r="628" spans="1:13" ht="12" customHeight="1">
      <c r="A628" s="223"/>
      <c r="B628" s="219"/>
      <c r="C628" s="219"/>
      <c r="D628" s="219"/>
      <c r="E628" s="220"/>
      <c r="F628" s="220"/>
      <c r="G628" s="221"/>
      <c r="H628" s="221"/>
      <c r="I628" s="221"/>
      <c r="J628" s="221"/>
      <c r="K628" s="221"/>
      <c r="L628" s="220"/>
      <c r="M628" s="222"/>
    </row>
    <row r="629" spans="1:13" ht="12" customHeight="1">
      <c r="A629" s="223"/>
      <c r="B629" s="219"/>
      <c r="C629" s="219"/>
      <c r="D629" s="219"/>
      <c r="E629" s="220"/>
      <c r="F629" s="220"/>
      <c r="G629" s="221"/>
      <c r="H629" s="221"/>
      <c r="I629" s="221"/>
      <c r="J629" s="221"/>
      <c r="K629" s="221"/>
      <c r="L629" s="220"/>
      <c r="M629" s="222"/>
    </row>
    <row r="630" spans="1:13" ht="12" customHeight="1">
      <c r="A630" s="223"/>
      <c r="B630" s="219"/>
      <c r="C630" s="219"/>
      <c r="D630" s="219"/>
      <c r="E630" s="220"/>
      <c r="F630" s="220"/>
      <c r="G630" s="221"/>
      <c r="H630" s="221"/>
      <c r="I630" s="221"/>
      <c r="J630" s="221"/>
      <c r="K630" s="221"/>
      <c r="L630" s="220"/>
      <c r="M630" s="222"/>
    </row>
    <row r="631" spans="1:13" ht="12" customHeight="1">
      <c r="A631" s="223"/>
      <c r="B631" s="219"/>
      <c r="C631" s="219"/>
      <c r="D631" s="219"/>
      <c r="E631" s="220"/>
      <c r="F631" s="220"/>
      <c r="G631" s="221"/>
      <c r="H631" s="221"/>
      <c r="I631" s="221"/>
      <c r="J631" s="221"/>
      <c r="K631" s="221"/>
      <c r="L631" s="220"/>
      <c r="M631" s="222"/>
    </row>
    <row r="632" spans="1:13" ht="12" customHeight="1">
      <c r="A632" s="223"/>
      <c r="B632" s="219"/>
      <c r="C632" s="219"/>
      <c r="D632" s="219"/>
      <c r="E632" s="220"/>
      <c r="F632" s="220"/>
      <c r="G632" s="221"/>
      <c r="H632" s="221"/>
      <c r="I632" s="221"/>
      <c r="J632" s="221"/>
      <c r="K632" s="221"/>
      <c r="L632" s="220"/>
      <c r="M632" s="222"/>
    </row>
    <row r="633" spans="1:13" ht="12" customHeight="1">
      <c r="A633" s="223"/>
      <c r="B633" s="219"/>
      <c r="C633" s="219"/>
      <c r="D633" s="219"/>
      <c r="E633" s="220"/>
      <c r="F633" s="220"/>
      <c r="G633" s="221"/>
      <c r="H633" s="221"/>
      <c r="I633" s="221"/>
      <c r="J633" s="221"/>
      <c r="K633" s="221"/>
      <c r="L633" s="220"/>
      <c r="M633" s="222"/>
    </row>
    <row r="634" spans="1:13" ht="12" customHeight="1">
      <c r="A634" s="223"/>
      <c r="B634" s="219"/>
      <c r="C634" s="219"/>
      <c r="D634" s="219"/>
      <c r="E634" s="220"/>
      <c r="F634" s="220"/>
      <c r="G634" s="221"/>
      <c r="H634" s="221"/>
      <c r="I634" s="221"/>
      <c r="J634" s="221"/>
      <c r="K634" s="221"/>
      <c r="L634" s="220"/>
      <c r="M634" s="222"/>
    </row>
    <row r="635" spans="1:13" ht="12" customHeight="1">
      <c r="A635" s="223"/>
      <c r="B635" s="219"/>
      <c r="C635" s="219"/>
      <c r="D635" s="219"/>
      <c r="E635" s="220"/>
      <c r="F635" s="220"/>
      <c r="G635" s="221"/>
      <c r="H635" s="221"/>
      <c r="I635" s="221"/>
      <c r="J635" s="221"/>
      <c r="K635" s="221"/>
      <c r="L635" s="220"/>
      <c r="M635" s="222"/>
    </row>
    <row r="636" spans="1:13" ht="12" customHeight="1">
      <c r="A636" s="223"/>
      <c r="B636" s="219"/>
      <c r="C636" s="219"/>
      <c r="D636" s="219"/>
      <c r="E636" s="220"/>
      <c r="F636" s="220"/>
      <c r="G636" s="221"/>
      <c r="H636" s="221"/>
      <c r="I636" s="221"/>
      <c r="J636" s="221"/>
      <c r="K636" s="221"/>
      <c r="L636" s="220"/>
      <c r="M636" s="222"/>
    </row>
    <row r="637" spans="1:13" ht="12" customHeight="1">
      <c r="A637" s="223"/>
      <c r="B637" s="219"/>
      <c r="C637" s="219"/>
      <c r="D637" s="219"/>
      <c r="E637" s="220"/>
      <c r="F637" s="220"/>
      <c r="G637" s="221"/>
      <c r="H637" s="221"/>
      <c r="I637" s="221"/>
      <c r="J637" s="221"/>
      <c r="K637" s="221"/>
      <c r="L637" s="220"/>
      <c r="M637" s="222"/>
    </row>
    <row r="638" spans="1:13" ht="12" customHeight="1">
      <c r="A638" s="223"/>
      <c r="B638" s="219"/>
      <c r="C638" s="219"/>
      <c r="D638" s="219"/>
      <c r="E638" s="220"/>
      <c r="F638" s="220"/>
      <c r="G638" s="221"/>
      <c r="H638" s="221"/>
      <c r="I638" s="221"/>
      <c r="J638" s="221"/>
      <c r="K638" s="221"/>
      <c r="L638" s="220"/>
      <c r="M638" s="222"/>
    </row>
    <row r="639" spans="1:13" ht="12" customHeight="1">
      <c r="A639" s="223"/>
      <c r="B639" s="219"/>
      <c r="C639" s="219"/>
      <c r="D639" s="219"/>
      <c r="E639" s="220"/>
      <c r="F639" s="220"/>
      <c r="G639" s="221"/>
      <c r="H639" s="221"/>
      <c r="I639" s="221"/>
      <c r="J639" s="221"/>
      <c r="K639" s="221"/>
      <c r="L639" s="220"/>
      <c r="M639" s="222"/>
    </row>
    <row r="640" spans="1:13" ht="12" customHeight="1">
      <c r="A640" s="223"/>
      <c r="B640" s="219"/>
      <c r="C640" s="219"/>
      <c r="D640" s="219"/>
      <c r="E640" s="220"/>
      <c r="F640" s="220"/>
      <c r="G640" s="221"/>
      <c r="H640" s="221"/>
      <c r="I640" s="221"/>
      <c r="J640" s="221"/>
      <c r="K640" s="221"/>
      <c r="L640" s="220"/>
      <c r="M640" s="222"/>
    </row>
    <row r="641" spans="1:13" ht="12" customHeight="1">
      <c r="A641" s="223"/>
      <c r="B641" s="219"/>
      <c r="C641" s="219"/>
      <c r="D641" s="219"/>
      <c r="E641" s="220"/>
      <c r="F641" s="220"/>
      <c r="G641" s="221"/>
      <c r="H641" s="221"/>
      <c r="I641" s="221"/>
      <c r="J641" s="221"/>
      <c r="K641" s="221"/>
      <c r="L641" s="220"/>
      <c r="M641" s="222"/>
    </row>
    <row r="642" spans="1:13" ht="12" customHeight="1">
      <c r="A642" s="223"/>
      <c r="B642" s="219"/>
      <c r="C642" s="219"/>
      <c r="D642" s="219"/>
      <c r="E642" s="220"/>
      <c r="F642" s="220"/>
      <c r="G642" s="221"/>
      <c r="H642" s="221"/>
      <c r="I642" s="221"/>
      <c r="J642" s="221"/>
      <c r="K642" s="221"/>
      <c r="L642" s="220"/>
      <c r="M642" s="222"/>
    </row>
    <row r="643" spans="1:13" ht="12" customHeight="1">
      <c r="A643" s="223"/>
      <c r="B643" s="219"/>
      <c r="C643" s="219"/>
      <c r="D643" s="219"/>
      <c r="E643" s="220"/>
      <c r="F643" s="220"/>
      <c r="G643" s="221"/>
      <c r="H643" s="221"/>
      <c r="I643" s="221"/>
      <c r="J643" s="221"/>
      <c r="K643" s="221"/>
      <c r="L643" s="220"/>
      <c r="M643" s="222"/>
    </row>
    <row r="644" spans="1:13" ht="12" customHeight="1">
      <c r="A644" s="223"/>
      <c r="B644" s="219"/>
      <c r="C644" s="219"/>
      <c r="D644" s="219"/>
      <c r="E644" s="220"/>
      <c r="F644" s="220"/>
      <c r="G644" s="221"/>
      <c r="H644" s="221"/>
      <c r="I644" s="221"/>
      <c r="J644" s="221"/>
      <c r="K644" s="221"/>
      <c r="L644" s="220"/>
      <c r="M644" s="222"/>
    </row>
    <row r="645" spans="1:13" ht="12" customHeight="1">
      <c r="A645" s="223"/>
      <c r="B645" s="219"/>
      <c r="C645" s="219"/>
      <c r="D645" s="219"/>
      <c r="E645" s="220"/>
      <c r="F645" s="220"/>
      <c r="G645" s="221"/>
      <c r="H645" s="221"/>
      <c r="I645" s="221"/>
      <c r="J645" s="221"/>
      <c r="K645" s="221"/>
      <c r="L645" s="220"/>
      <c r="M645" s="222"/>
    </row>
    <row r="646" spans="1:13" ht="12" customHeight="1">
      <c r="A646" s="223"/>
      <c r="B646" s="219"/>
      <c r="C646" s="219"/>
      <c r="D646" s="219"/>
      <c r="E646" s="220"/>
      <c r="F646" s="220"/>
      <c r="G646" s="221"/>
      <c r="H646" s="221"/>
      <c r="I646" s="221"/>
      <c r="J646" s="221"/>
      <c r="K646" s="221"/>
      <c r="L646" s="220"/>
      <c r="M646" s="222"/>
    </row>
    <row r="647" spans="1:13" ht="12" customHeight="1">
      <c r="A647" s="223"/>
      <c r="B647" s="219"/>
      <c r="C647" s="219"/>
      <c r="D647" s="219"/>
      <c r="E647" s="220"/>
      <c r="F647" s="220"/>
      <c r="G647" s="221"/>
      <c r="H647" s="221"/>
      <c r="I647" s="221"/>
      <c r="J647" s="221"/>
      <c r="K647" s="221"/>
      <c r="L647" s="220"/>
      <c r="M647" s="222"/>
    </row>
    <row r="648" spans="1:13" ht="12" customHeight="1">
      <c r="A648" s="223"/>
      <c r="B648" s="219"/>
      <c r="C648" s="219"/>
      <c r="D648" s="219"/>
      <c r="E648" s="220"/>
      <c r="F648" s="220"/>
      <c r="G648" s="221"/>
      <c r="H648" s="221"/>
      <c r="I648" s="221"/>
      <c r="J648" s="221"/>
      <c r="K648" s="221"/>
      <c r="L648" s="220"/>
      <c r="M648" s="222"/>
    </row>
    <row r="649" spans="1:13" ht="12" customHeight="1">
      <c r="A649" s="223"/>
      <c r="B649" s="219"/>
      <c r="C649" s="219"/>
      <c r="D649" s="219"/>
      <c r="E649" s="220"/>
      <c r="F649" s="220"/>
      <c r="G649" s="221"/>
      <c r="H649" s="221"/>
      <c r="I649" s="221"/>
      <c r="J649" s="221"/>
      <c r="K649" s="221"/>
      <c r="L649" s="220"/>
      <c r="M649" s="222"/>
    </row>
    <row r="650" spans="1:13" ht="12" customHeight="1">
      <c r="A650" s="223"/>
      <c r="B650" s="219"/>
      <c r="C650" s="219"/>
      <c r="D650" s="219"/>
      <c r="E650" s="220"/>
      <c r="F650" s="220"/>
      <c r="G650" s="221"/>
      <c r="H650" s="221"/>
      <c r="I650" s="221"/>
      <c r="J650" s="221"/>
      <c r="K650" s="221"/>
      <c r="L650" s="220"/>
      <c r="M650" s="222"/>
    </row>
    <row r="651" spans="1:13" ht="12" customHeight="1">
      <c r="A651" s="223"/>
      <c r="B651" s="219"/>
      <c r="C651" s="219"/>
      <c r="D651" s="219"/>
      <c r="E651" s="220"/>
      <c r="F651" s="220"/>
      <c r="G651" s="221"/>
      <c r="H651" s="221"/>
      <c r="I651" s="221"/>
      <c r="J651" s="221"/>
      <c r="K651" s="221"/>
      <c r="L651" s="220"/>
      <c r="M651" s="222"/>
    </row>
    <row r="652" spans="1:13" ht="12" customHeight="1">
      <c r="A652" s="223"/>
      <c r="B652" s="219"/>
      <c r="C652" s="219"/>
      <c r="D652" s="219"/>
      <c r="E652" s="220"/>
      <c r="F652" s="220"/>
      <c r="G652" s="221"/>
      <c r="H652" s="221"/>
      <c r="I652" s="221"/>
      <c r="J652" s="221"/>
      <c r="K652" s="221"/>
      <c r="L652" s="220"/>
      <c r="M652" s="222"/>
    </row>
    <row r="653" spans="1:13" ht="12" customHeight="1">
      <c r="A653" s="223"/>
      <c r="B653" s="219"/>
      <c r="C653" s="219"/>
      <c r="D653" s="219"/>
      <c r="E653" s="220"/>
      <c r="F653" s="220"/>
      <c r="G653" s="221"/>
      <c r="H653" s="221"/>
      <c r="I653" s="221"/>
      <c r="J653" s="221"/>
      <c r="K653" s="221"/>
      <c r="L653" s="220"/>
      <c r="M653" s="222"/>
    </row>
    <row r="654" spans="1:13" ht="12" customHeight="1">
      <c r="A654" s="223"/>
      <c r="B654" s="219"/>
      <c r="C654" s="219"/>
      <c r="D654" s="219"/>
      <c r="E654" s="220"/>
      <c r="F654" s="220"/>
      <c r="G654" s="221"/>
      <c r="H654" s="221"/>
      <c r="I654" s="221"/>
      <c r="J654" s="221"/>
      <c r="K654" s="221"/>
      <c r="L654" s="220"/>
      <c r="M654" s="222"/>
    </row>
    <row r="655" spans="1:13" ht="12" customHeight="1">
      <c r="A655" s="223"/>
      <c r="B655" s="219"/>
      <c r="C655" s="219"/>
      <c r="D655" s="219"/>
      <c r="E655" s="220"/>
      <c r="F655" s="220"/>
      <c r="G655" s="221"/>
      <c r="H655" s="221"/>
      <c r="I655" s="221"/>
      <c r="J655" s="221"/>
      <c r="K655" s="221"/>
      <c r="L655" s="220"/>
      <c r="M655" s="222"/>
    </row>
    <row r="656" spans="1:13" ht="12" customHeight="1">
      <c r="A656" s="223"/>
      <c r="B656" s="219"/>
      <c r="C656" s="219"/>
      <c r="D656" s="219"/>
      <c r="E656" s="220"/>
      <c r="F656" s="220"/>
      <c r="G656" s="221"/>
      <c r="H656" s="221"/>
      <c r="I656" s="221"/>
      <c r="J656" s="221"/>
      <c r="K656" s="221"/>
      <c r="L656" s="220"/>
      <c r="M656" s="222"/>
    </row>
    <row r="657" spans="1:13" ht="12" customHeight="1">
      <c r="A657" s="223"/>
      <c r="B657" s="219"/>
      <c r="C657" s="219"/>
      <c r="D657" s="219"/>
      <c r="E657" s="220"/>
      <c r="F657" s="220"/>
      <c r="G657" s="221"/>
      <c r="H657" s="221"/>
      <c r="I657" s="221"/>
      <c r="J657" s="221"/>
      <c r="K657" s="221"/>
      <c r="L657" s="220"/>
      <c r="M657" s="222"/>
    </row>
    <row r="658" spans="1:13" ht="12" customHeight="1">
      <c r="A658" s="223"/>
      <c r="B658" s="219"/>
      <c r="C658" s="219"/>
      <c r="D658" s="219"/>
      <c r="E658" s="220"/>
      <c r="F658" s="220"/>
      <c r="G658" s="221"/>
      <c r="H658" s="221"/>
      <c r="I658" s="221"/>
      <c r="J658" s="221"/>
      <c r="K658" s="221"/>
      <c r="L658" s="220"/>
      <c r="M658" s="222"/>
    </row>
    <row r="659" spans="1:13" ht="12" customHeight="1">
      <c r="A659" s="223"/>
      <c r="B659" s="219"/>
      <c r="C659" s="219"/>
      <c r="D659" s="219"/>
      <c r="E659" s="220"/>
      <c r="F659" s="220"/>
      <c r="G659" s="221"/>
      <c r="H659" s="221"/>
      <c r="I659" s="221"/>
      <c r="J659" s="221"/>
      <c r="K659" s="221"/>
      <c r="L659" s="220"/>
      <c r="M659" s="222"/>
    </row>
    <row r="660" spans="1:13" ht="12" customHeight="1">
      <c r="A660" s="223"/>
      <c r="B660" s="219"/>
      <c r="C660" s="219"/>
      <c r="D660" s="219"/>
      <c r="E660" s="220"/>
      <c r="F660" s="220"/>
      <c r="G660" s="221"/>
      <c r="H660" s="221"/>
      <c r="I660" s="221"/>
      <c r="J660" s="221"/>
      <c r="K660" s="221"/>
      <c r="L660" s="220"/>
      <c r="M660" s="222"/>
    </row>
    <row r="661" spans="1:13" ht="12" customHeight="1">
      <c r="A661" s="223"/>
      <c r="B661" s="219"/>
      <c r="C661" s="219"/>
      <c r="D661" s="219"/>
      <c r="E661" s="220"/>
      <c r="F661" s="220"/>
      <c r="G661" s="221"/>
      <c r="H661" s="221"/>
      <c r="I661" s="221"/>
      <c r="J661" s="221"/>
      <c r="K661" s="221"/>
      <c r="L661" s="220"/>
      <c r="M661" s="222"/>
    </row>
    <row r="662" spans="1:13" ht="12" customHeight="1">
      <c r="A662" s="223"/>
      <c r="B662" s="219"/>
      <c r="C662" s="219"/>
      <c r="D662" s="219"/>
      <c r="E662" s="220"/>
      <c r="F662" s="220"/>
      <c r="G662" s="221"/>
      <c r="H662" s="221"/>
      <c r="I662" s="221"/>
      <c r="J662" s="221"/>
      <c r="K662" s="221"/>
      <c r="L662" s="220"/>
      <c r="M662" s="222"/>
    </row>
    <row r="663" spans="1:13" ht="12" customHeight="1">
      <c r="A663" s="223"/>
      <c r="B663" s="219"/>
      <c r="C663" s="219"/>
      <c r="D663" s="219"/>
      <c r="E663" s="220"/>
      <c r="F663" s="220"/>
      <c r="G663" s="221"/>
      <c r="H663" s="221"/>
      <c r="I663" s="221"/>
      <c r="J663" s="221"/>
      <c r="K663" s="221"/>
      <c r="L663" s="220"/>
      <c r="M663" s="222"/>
    </row>
    <row r="664" spans="1:13" ht="12" customHeight="1">
      <c r="A664" s="223"/>
      <c r="B664" s="219"/>
      <c r="C664" s="219"/>
      <c r="D664" s="219"/>
      <c r="E664" s="220"/>
      <c r="F664" s="220"/>
      <c r="G664" s="221"/>
      <c r="H664" s="221"/>
      <c r="I664" s="221"/>
      <c r="J664" s="221"/>
      <c r="K664" s="221"/>
      <c r="L664" s="220"/>
      <c r="M664" s="222"/>
    </row>
    <row r="665" spans="1:13" ht="12" customHeight="1">
      <c r="A665" s="223"/>
      <c r="B665" s="219"/>
      <c r="C665" s="219"/>
      <c r="D665" s="219"/>
      <c r="E665" s="220"/>
      <c r="F665" s="220"/>
      <c r="G665" s="221"/>
      <c r="H665" s="221"/>
      <c r="I665" s="221"/>
      <c r="J665" s="221"/>
      <c r="K665" s="221"/>
      <c r="L665" s="220"/>
      <c r="M665" s="222"/>
    </row>
    <row r="666" spans="1:13" ht="12" customHeight="1">
      <c r="A666" s="223"/>
      <c r="B666" s="219"/>
      <c r="C666" s="219"/>
      <c r="D666" s="219"/>
      <c r="E666" s="220"/>
      <c r="F666" s="220"/>
      <c r="G666" s="221"/>
      <c r="H666" s="221"/>
      <c r="I666" s="221"/>
      <c r="J666" s="221"/>
      <c r="K666" s="221"/>
      <c r="L666" s="220"/>
      <c r="M666" s="222"/>
    </row>
    <row r="667" spans="1:13" ht="12" customHeight="1">
      <c r="A667" s="223"/>
      <c r="B667" s="219"/>
      <c r="C667" s="219"/>
      <c r="D667" s="219"/>
      <c r="E667" s="220"/>
      <c r="F667" s="220"/>
      <c r="G667" s="221"/>
      <c r="H667" s="221"/>
      <c r="I667" s="221"/>
      <c r="J667" s="221"/>
      <c r="K667" s="221"/>
      <c r="L667" s="220"/>
      <c r="M667" s="222"/>
    </row>
    <row r="668" spans="1:13" ht="12" customHeight="1">
      <c r="A668" s="223"/>
      <c r="B668" s="219"/>
      <c r="C668" s="219"/>
      <c r="D668" s="219"/>
      <c r="E668" s="220"/>
      <c r="F668" s="220"/>
      <c r="G668" s="221"/>
      <c r="H668" s="221"/>
      <c r="I668" s="221"/>
      <c r="J668" s="221"/>
      <c r="K668" s="221"/>
      <c r="L668" s="220"/>
      <c r="M668" s="222"/>
    </row>
    <row r="669" spans="1:13" ht="12" customHeight="1">
      <c r="A669" s="223"/>
      <c r="B669" s="219"/>
      <c r="C669" s="219"/>
      <c r="D669" s="219"/>
      <c r="E669" s="220"/>
      <c r="F669" s="220"/>
      <c r="G669" s="221"/>
      <c r="H669" s="221"/>
      <c r="I669" s="221"/>
      <c r="J669" s="221"/>
      <c r="K669" s="221"/>
      <c r="L669" s="220"/>
      <c r="M669" s="222"/>
    </row>
    <row r="670" spans="1:13" ht="12" customHeight="1">
      <c r="A670" s="223"/>
      <c r="B670" s="219"/>
      <c r="C670" s="219"/>
      <c r="D670" s="219"/>
      <c r="E670" s="220"/>
      <c r="F670" s="220"/>
      <c r="G670" s="221"/>
      <c r="H670" s="221"/>
      <c r="I670" s="221"/>
      <c r="J670" s="221"/>
      <c r="K670" s="221"/>
      <c r="L670" s="220"/>
      <c r="M670" s="222"/>
    </row>
    <row r="671" spans="1:13" ht="12" customHeight="1">
      <c r="A671" s="223"/>
      <c r="B671" s="219"/>
      <c r="C671" s="219"/>
      <c r="D671" s="219"/>
      <c r="E671" s="220"/>
      <c r="F671" s="220"/>
      <c r="G671" s="221"/>
      <c r="H671" s="221"/>
      <c r="I671" s="221"/>
      <c r="J671" s="221"/>
      <c r="K671" s="221"/>
      <c r="L671" s="220"/>
      <c r="M671" s="222"/>
    </row>
    <row r="672" spans="1:13" ht="12" customHeight="1">
      <c r="A672" s="223"/>
      <c r="B672" s="219"/>
      <c r="C672" s="219"/>
      <c r="D672" s="219"/>
      <c r="E672" s="220"/>
      <c r="F672" s="220"/>
      <c r="G672" s="221"/>
      <c r="H672" s="221"/>
      <c r="I672" s="221"/>
      <c r="J672" s="221"/>
      <c r="K672" s="221"/>
      <c r="L672" s="220"/>
      <c r="M672" s="222"/>
    </row>
    <row r="673" spans="1:13" ht="12" customHeight="1">
      <c r="A673" s="223"/>
      <c r="B673" s="219"/>
      <c r="C673" s="219"/>
      <c r="D673" s="219"/>
      <c r="E673" s="220"/>
      <c r="F673" s="220"/>
      <c r="G673" s="221"/>
      <c r="H673" s="221"/>
      <c r="I673" s="221"/>
      <c r="J673" s="221"/>
      <c r="K673" s="221"/>
      <c r="L673" s="220"/>
      <c r="M673" s="222"/>
    </row>
    <row r="674" spans="1:13" ht="12" customHeight="1">
      <c r="A674" s="223"/>
      <c r="B674" s="219"/>
      <c r="C674" s="219"/>
      <c r="D674" s="219"/>
      <c r="E674" s="220"/>
      <c r="F674" s="220"/>
      <c r="G674" s="221"/>
      <c r="H674" s="221"/>
      <c r="I674" s="221"/>
      <c r="J674" s="221"/>
      <c r="K674" s="221"/>
      <c r="L674" s="220"/>
      <c r="M674" s="222"/>
    </row>
    <row r="675" spans="1:13" ht="12" customHeight="1">
      <c r="A675" s="223"/>
      <c r="B675" s="219"/>
      <c r="C675" s="219"/>
      <c r="D675" s="219"/>
      <c r="E675" s="220"/>
      <c r="F675" s="220"/>
      <c r="G675" s="221"/>
      <c r="H675" s="221"/>
      <c r="I675" s="221"/>
      <c r="J675" s="221"/>
      <c r="K675" s="221"/>
      <c r="L675" s="220"/>
      <c r="M675" s="222"/>
    </row>
    <row r="676" spans="1:13" ht="12" customHeight="1">
      <c r="A676" s="223"/>
      <c r="B676" s="219"/>
      <c r="C676" s="219"/>
      <c r="D676" s="219"/>
      <c r="E676" s="220"/>
      <c r="F676" s="220"/>
      <c r="G676" s="221"/>
      <c r="H676" s="221"/>
      <c r="I676" s="221"/>
      <c r="J676" s="221"/>
      <c r="K676" s="221"/>
      <c r="L676" s="220"/>
      <c r="M676" s="222"/>
    </row>
    <row r="677" spans="1:13" ht="12" customHeight="1">
      <c r="A677" s="223"/>
      <c r="B677" s="219"/>
      <c r="C677" s="219"/>
      <c r="D677" s="219"/>
      <c r="E677" s="220"/>
      <c r="F677" s="220"/>
      <c r="G677" s="221"/>
      <c r="H677" s="221"/>
      <c r="I677" s="221"/>
      <c r="J677" s="221"/>
      <c r="K677" s="221"/>
      <c r="L677" s="220"/>
      <c r="M677" s="222"/>
    </row>
    <row r="678" spans="1:13" ht="12" customHeight="1">
      <c r="A678" s="223"/>
      <c r="B678" s="219"/>
      <c r="C678" s="219"/>
      <c r="D678" s="219"/>
      <c r="E678" s="220"/>
      <c r="F678" s="220"/>
      <c r="G678" s="221"/>
      <c r="H678" s="221"/>
      <c r="I678" s="221"/>
      <c r="J678" s="221"/>
      <c r="K678" s="221"/>
      <c r="L678" s="220"/>
      <c r="M678" s="222"/>
    </row>
    <row r="679" spans="1:13" ht="12" customHeight="1">
      <c r="A679" s="223"/>
      <c r="B679" s="219"/>
      <c r="C679" s="219"/>
      <c r="D679" s="219"/>
      <c r="E679" s="220"/>
      <c r="F679" s="220"/>
      <c r="G679" s="221"/>
      <c r="H679" s="221"/>
      <c r="I679" s="221"/>
      <c r="J679" s="221"/>
      <c r="K679" s="221"/>
      <c r="L679" s="220"/>
      <c r="M679" s="222"/>
    </row>
    <row r="680" spans="1:13" ht="12" customHeight="1">
      <c r="A680" s="223"/>
      <c r="B680" s="219"/>
      <c r="C680" s="219"/>
      <c r="D680" s="219"/>
      <c r="E680" s="220"/>
      <c r="F680" s="220"/>
      <c r="G680" s="221"/>
      <c r="H680" s="221"/>
      <c r="I680" s="221"/>
      <c r="J680" s="221"/>
      <c r="K680" s="221"/>
      <c r="L680" s="220"/>
      <c r="M680" s="222"/>
    </row>
    <row r="681" spans="1:13" ht="12" customHeight="1">
      <c r="A681" s="223"/>
      <c r="B681" s="219"/>
      <c r="C681" s="219"/>
      <c r="D681" s="219"/>
      <c r="E681" s="220"/>
      <c r="F681" s="220"/>
      <c r="G681" s="221"/>
      <c r="H681" s="221"/>
      <c r="I681" s="221"/>
      <c r="J681" s="221"/>
      <c r="K681" s="221"/>
      <c r="L681" s="220"/>
      <c r="M681" s="222"/>
    </row>
    <row r="682" spans="1:13" ht="12" customHeight="1">
      <c r="A682" s="223"/>
      <c r="B682" s="219"/>
      <c r="C682" s="219"/>
      <c r="D682" s="219"/>
      <c r="E682" s="220"/>
      <c r="F682" s="220"/>
      <c r="G682" s="221"/>
      <c r="H682" s="221"/>
      <c r="I682" s="221"/>
      <c r="J682" s="221"/>
      <c r="K682" s="221"/>
      <c r="L682" s="220"/>
      <c r="M682" s="222"/>
    </row>
    <row r="683" spans="1:13" ht="12" customHeight="1">
      <c r="A683" s="223"/>
      <c r="B683" s="219"/>
      <c r="C683" s="219"/>
      <c r="D683" s="219"/>
      <c r="E683" s="220"/>
      <c r="F683" s="220"/>
      <c r="G683" s="221"/>
      <c r="H683" s="221"/>
      <c r="I683" s="221"/>
      <c r="J683" s="221"/>
      <c r="K683" s="221"/>
      <c r="L683" s="220"/>
      <c r="M683" s="222"/>
    </row>
    <row r="684" spans="1:13" ht="12" customHeight="1">
      <c r="A684" s="223"/>
      <c r="B684" s="219"/>
      <c r="C684" s="219"/>
      <c r="D684" s="219"/>
      <c r="E684" s="220"/>
      <c r="F684" s="220"/>
      <c r="G684" s="221"/>
      <c r="H684" s="221"/>
      <c r="I684" s="221"/>
      <c r="J684" s="221"/>
      <c r="K684" s="221"/>
      <c r="L684" s="220"/>
      <c r="M684" s="222"/>
    </row>
    <row r="685" spans="1:13" ht="12" customHeight="1">
      <c r="A685" s="223"/>
      <c r="B685" s="219"/>
      <c r="C685" s="219"/>
      <c r="D685" s="219"/>
      <c r="E685" s="220"/>
      <c r="F685" s="220"/>
      <c r="G685" s="221"/>
      <c r="H685" s="221"/>
      <c r="I685" s="221"/>
      <c r="J685" s="221"/>
      <c r="K685" s="221"/>
      <c r="L685" s="220"/>
      <c r="M685" s="222"/>
    </row>
    <row r="686" spans="1:13" ht="12" customHeight="1">
      <c r="A686" s="223"/>
      <c r="B686" s="219"/>
      <c r="C686" s="219"/>
      <c r="D686" s="219"/>
      <c r="E686" s="220"/>
      <c r="F686" s="220"/>
      <c r="G686" s="221"/>
      <c r="H686" s="221"/>
      <c r="I686" s="221"/>
      <c r="J686" s="221"/>
      <c r="K686" s="221"/>
      <c r="L686" s="220"/>
      <c r="M686" s="222"/>
    </row>
    <row r="687" spans="1:13" ht="12" customHeight="1">
      <c r="A687" s="223"/>
      <c r="B687" s="219"/>
      <c r="C687" s="219"/>
      <c r="D687" s="219"/>
      <c r="E687" s="220"/>
      <c r="F687" s="220"/>
      <c r="G687" s="221"/>
      <c r="H687" s="221"/>
      <c r="I687" s="221"/>
      <c r="J687" s="221"/>
      <c r="K687" s="221"/>
      <c r="L687" s="220"/>
      <c r="M687" s="222"/>
    </row>
    <row r="688" spans="1:13" ht="12" customHeight="1">
      <c r="A688" s="223"/>
      <c r="B688" s="219"/>
      <c r="C688" s="219"/>
      <c r="D688" s="219"/>
      <c r="E688" s="220"/>
      <c r="F688" s="220"/>
      <c r="G688" s="221"/>
      <c r="H688" s="221"/>
      <c r="I688" s="221"/>
      <c r="J688" s="221"/>
      <c r="K688" s="221"/>
      <c r="L688" s="220"/>
      <c r="M688" s="222"/>
    </row>
    <row r="689" spans="1:13" ht="12" customHeight="1">
      <c r="A689" s="223"/>
      <c r="B689" s="219"/>
      <c r="C689" s="219"/>
      <c r="D689" s="219"/>
      <c r="E689" s="220"/>
      <c r="F689" s="220"/>
      <c r="G689" s="221"/>
      <c r="H689" s="221"/>
      <c r="I689" s="221"/>
      <c r="J689" s="221"/>
      <c r="K689" s="221"/>
      <c r="L689" s="220"/>
      <c r="M689" s="222"/>
    </row>
    <row r="690" spans="1:13" ht="12" customHeight="1">
      <c r="A690" s="223"/>
      <c r="B690" s="219"/>
      <c r="C690" s="219"/>
      <c r="D690" s="219"/>
      <c r="E690" s="220"/>
      <c r="F690" s="220"/>
      <c r="G690" s="221"/>
      <c r="H690" s="221"/>
      <c r="I690" s="221"/>
      <c r="J690" s="221"/>
      <c r="K690" s="221"/>
      <c r="L690" s="220"/>
      <c r="M690" s="222"/>
    </row>
    <row r="691" spans="1:13" ht="12" customHeight="1">
      <c r="A691" s="223"/>
      <c r="B691" s="219"/>
      <c r="C691" s="219"/>
      <c r="D691" s="219"/>
      <c r="E691" s="220"/>
      <c r="F691" s="220"/>
      <c r="G691" s="221"/>
      <c r="H691" s="221"/>
      <c r="I691" s="221"/>
      <c r="J691" s="221"/>
      <c r="K691" s="221"/>
      <c r="L691" s="220"/>
      <c r="M691" s="222"/>
    </row>
    <row r="692" spans="1:13" ht="12" customHeight="1">
      <c r="A692" s="223"/>
      <c r="B692" s="219"/>
      <c r="C692" s="219"/>
      <c r="D692" s="219"/>
      <c r="E692" s="220"/>
      <c r="F692" s="220"/>
      <c r="G692" s="221"/>
      <c r="H692" s="221"/>
      <c r="I692" s="221"/>
      <c r="J692" s="221"/>
      <c r="K692" s="221"/>
      <c r="L692" s="220"/>
      <c r="M692" s="222"/>
    </row>
    <row r="693" spans="1:13" ht="12" customHeight="1">
      <c r="A693" s="223"/>
      <c r="B693" s="219"/>
      <c r="C693" s="219"/>
      <c r="D693" s="219"/>
      <c r="E693" s="220"/>
      <c r="F693" s="220"/>
      <c r="G693" s="221"/>
      <c r="H693" s="221"/>
      <c r="I693" s="221"/>
      <c r="J693" s="221"/>
      <c r="K693" s="221"/>
      <c r="L693" s="220"/>
      <c r="M693" s="222"/>
    </row>
    <row r="694" spans="1:13" ht="12" customHeight="1">
      <c r="A694" s="223"/>
      <c r="B694" s="219"/>
      <c r="C694" s="219"/>
      <c r="D694" s="219"/>
      <c r="E694" s="220"/>
      <c r="F694" s="220"/>
      <c r="G694" s="221"/>
      <c r="H694" s="221"/>
      <c r="I694" s="221"/>
      <c r="J694" s="221"/>
      <c r="K694" s="221"/>
      <c r="L694" s="220"/>
      <c r="M694" s="222"/>
    </row>
    <row r="695" spans="1:13" ht="12" customHeight="1">
      <c r="A695" s="223"/>
      <c r="B695" s="219"/>
      <c r="C695" s="219"/>
      <c r="D695" s="219"/>
      <c r="E695" s="220"/>
      <c r="F695" s="220"/>
      <c r="G695" s="221"/>
      <c r="H695" s="221"/>
      <c r="I695" s="221"/>
      <c r="J695" s="221"/>
      <c r="K695" s="221"/>
      <c r="L695" s="220"/>
      <c r="M695" s="222"/>
    </row>
    <row r="696" spans="1:13" ht="12" customHeight="1">
      <c r="A696" s="223"/>
      <c r="B696" s="219"/>
      <c r="C696" s="219"/>
      <c r="D696" s="219"/>
      <c r="E696" s="220"/>
      <c r="F696" s="220"/>
      <c r="G696" s="221"/>
      <c r="H696" s="221"/>
      <c r="I696" s="221"/>
      <c r="J696" s="221"/>
      <c r="K696" s="221"/>
      <c r="L696" s="220"/>
      <c r="M696" s="222"/>
    </row>
    <row r="697" spans="1:13" ht="12" customHeight="1">
      <c r="A697" s="223"/>
      <c r="B697" s="219"/>
      <c r="C697" s="219"/>
      <c r="D697" s="219"/>
      <c r="E697" s="220"/>
      <c r="F697" s="220"/>
      <c r="G697" s="221"/>
      <c r="H697" s="221"/>
      <c r="I697" s="221"/>
      <c r="J697" s="221"/>
      <c r="K697" s="221"/>
      <c r="L697" s="220"/>
      <c r="M697" s="222"/>
    </row>
    <row r="698" spans="1:13" ht="12" customHeight="1">
      <c r="A698" s="223"/>
      <c r="B698" s="219"/>
      <c r="C698" s="219"/>
      <c r="D698" s="219"/>
      <c r="E698" s="220"/>
      <c r="F698" s="220"/>
      <c r="G698" s="221"/>
      <c r="H698" s="221"/>
      <c r="I698" s="221"/>
      <c r="J698" s="221"/>
      <c r="K698" s="221"/>
      <c r="L698" s="220"/>
      <c r="M698" s="222"/>
    </row>
    <row r="699" spans="1:13" ht="12" customHeight="1">
      <c r="A699" s="223"/>
      <c r="B699" s="219"/>
      <c r="C699" s="219"/>
      <c r="D699" s="219"/>
      <c r="E699" s="220"/>
      <c r="F699" s="220"/>
      <c r="G699" s="221"/>
      <c r="H699" s="221"/>
      <c r="I699" s="221"/>
      <c r="J699" s="221"/>
      <c r="K699" s="221"/>
      <c r="L699" s="220"/>
      <c r="M699" s="222"/>
    </row>
    <row r="700" spans="1:13" ht="12" customHeight="1">
      <c r="A700" s="223"/>
      <c r="B700" s="219"/>
      <c r="C700" s="219"/>
      <c r="D700" s="219"/>
      <c r="E700" s="220"/>
      <c r="F700" s="220"/>
      <c r="G700" s="221"/>
      <c r="H700" s="221"/>
      <c r="I700" s="221"/>
      <c r="J700" s="221"/>
      <c r="K700" s="221"/>
      <c r="L700" s="220"/>
      <c r="M700" s="222"/>
    </row>
    <row r="701" spans="1:13" ht="12" customHeight="1">
      <c r="A701" s="223"/>
      <c r="B701" s="219"/>
      <c r="C701" s="219"/>
      <c r="D701" s="219"/>
      <c r="E701" s="220"/>
      <c r="F701" s="220"/>
      <c r="G701" s="221"/>
      <c r="H701" s="221"/>
      <c r="I701" s="221"/>
      <c r="J701" s="221"/>
      <c r="K701" s="221"/>
      <c r="L701" s="220"/>
      <c r="M701" s="222"/>
    </row>
    <row r="702" spans="1:13" ht="12" customHeight="1">
      <c r="A702" s="223"/>
      <c r="B702" s="219"/>
      <c r="C702" s="219"/>
      <c r="D702" s="219"/>
      <c r="E702" s="220"/>
      <c r="F702" s="220"/>
      <c r="G702" s="221"/>
      <c r="H702" s="221"/>
      <c r="I702" s="221"/>
      <c r="J702" s="221"/>
      <c r="K702" s="221"/>
      <c r="L702" s="220"/>
      <c r="M702" s="222"/>
    </row>
    <row r="703" spans="1:13" ht="12" customHeight="1">
      <c r="A703" s="223"/>
      <c r="B703" s="219"/>
      <c r="C703" s="219"/>
      <c r="D703" s="219"/>
      <c r="E703" s="220"/>
      <c r="F703" s="220"/>
      <c r="G703" s="221"/>
      <c r="H703" s="221"/>
      <c r="I703" s="221"/>
      <c r="J703" s="221"/>
      <c r="K703" s="221"/>
      <c r="L703" s="220"/>
      <c r="M703" s="222"/>
    </row>
    <row r="704" spans="1:13" ht="12" customHeight="1">
      <c r="A704" s="223"/>
      <c r="B704" s="219"/>
      <c r="C704" s="219"/>
      <c r="D704" s="219"/>
      <c r="E704" s="220"/>
      <c r="F704" s="220"/>
      <c r="G704" s="221"/>
      <c r="H704" s="221"/>
      <c r="I704" s="221"/>
      <c r="J704" s="221"/>
      <c r="K704" s="221"/>
      <c r="L704" s="220"/>
      <c r="M704" s="222"/>
    </row>
    <row r="705" spans="1:13" ht="12" customHeight="1">
      <c r="A705" s="223"/>
      <c r="B705" s="219"/>
      <c r="C705" s="219"/>
      <c r="D705" s="219"/>
      <c r="E705" s="220"/>
      <c r="F705" s="220"/>
      <c r="G705" s="221"/>
      <c r="H705" s="221"/>
      <c r="I705" s="221"/>
      <c r="J705" s="221"/>
      <c r="K705" s="221"/>
      <c r="L705" s="220"/>
      <c r="M705" s="222"/>
    </row>
    <row r="706" spans="1:13" ht="12" customHeight="1">
      <c r="A706" s="223"/>
      <c r="B706" s="219"/>
      <c r="C706" s="219"/>
      <c r="D706" s="219"/>
      <c r="E706" s="220"/>
      <c r="F706" s="220"/>
      <c r="G706" s="221"/>
      <c r="H706" s="221"/>
      <c r="I706" s="221"/>
      <c r="J706" s="221"/>
      <c r="K706" s="221"/>
      <c r="L706" s="220"/>
      <c r="M706" s="222"/>
    </row>
    <row r="707" spans="1:13" ht="12" customHeight="1">
      <c r="A707" s="223"/>
      <c r="B707" s="219"/>
      <c r="C707" s="219"/>
      <c r="D707" s="219"/>
      <c r="E707" s="220"/>
      <c r="F707" s="220"/>
      <c r="G707" s="221"/>
      <c r="H707" s="221"/>
      <c r="I707" s="221"/>
      <c r="J707" s="221"/>
      <c r="K707" s="221"/>
      <c r="L707" s="220"/>
      <c r="M707" s="222"/>
    </row>
    <row r="708" spans="1:13" ht="12" customHeight="1">
      <c r="A708" s="223"/>
      <c r="B708" s="219"/>
      <c r="C708" s="219"/>
      <c r="D708" s="219"/>
      <c r="E708" s="220"/>
      <c r="F708" s="220"/>
      <c r="G708" s="221"/>
      <c r="H708" s="221"/>
      <c r="I708" s="221"/>
      <c r="J708" s="221"/>
      <c r="K708" s="221"/>
      <c r="L708" s="220"/>
      <c r="M708" s="222"/>
    </row>
    <row r="709" spans="1:13" ht="12" customHeight="1">
      <c r="A709" s="223"/>
      <c r="B709" s="219"/>
      <c r="C709" s="219"/>
      <c r="D709" s="219"/>
      <c r="E709" s="220"/>
      <c r="F709" s="220"/>
      <c r="G709" s="221"/>
      <c r="H709" s="221"/>
      <c r="I709" s="221"/>
      <c r="J709" s="221"/>
      <c r="K709" s="221"/>
      <c r="L709" s="220"/>
      <c r="M709" s="222"/>
    </row>
    <row r="710" spans="1:13" ht="12" customHeight="1">
      <c r="A710" s="223"/>
      <c r="B710" s="219"/>
      <c r="C710" s="219"/>
      <c r="D710" s="219"/>
      <c r="E710" s="220"/>
      <c r="F710" s="220"/>
      <c r="G710" s="221"/>
      <c r="H710" s="221"/>
      <c r="I710" s="221"/>
      <c r="J710" s="221"/>
      <c r="K710" s="221"/>
      <c r="L710" s="220"/>
      <c r="M710" s="222"/>
    </row>
    <row r="711" spans="1:13" ht="12" customHeight="1">
      <c r="A711" s="223"/>
      <c r="B711" s="219"/>
      <c r="C711" s="219"/>
      <c r="D711" s="219"/>
      <c r="E711" s="220"/>
      <c r="F711" s="220"/>
      <c r="G711" s="221"/>
      <c r="H711" s="221"/>
      <c r="I711" s="221"/>
      <c r="J711" s="221"/>
      <c r="K711" s="221"/>
      <c r="L711" s="220"/>
      <c r="M711" s="222"/>
    </row>
    <row r="712" spans="1:13" ht="12" customHeight="1">
      <c r="A712" s="223"/>
      <c r="B712" s="219"/>
      <c r="C712" s="219"/>
      <c r="D712" s="219"/>
      <c r="E712" s="220"/>
      <c r="F712" s="220"/>
      <c r="G712" s="221"/>
      <c r="H712" s="221"/>
      <c r="I712" s="221"/>
      <c r="J712" s="221"/>
      <c r="K712" s="221"/>
      <c r="L712" s="220"/>
      <c r="M712" s="222"/>
    </row>
    <row r="713" spans="1:13" ht="12" customHeight="1">
      <c r="A713" s="223"/>
      <c r="B713" s="219"/>
      <c r="C713" s="219"/>
      <c r="D713" s="219"/>
      <c r="E713" s="220"/>
      <c r="F713" s="220"/>
      <c r="G713" s="221"/>
      <c r="H713" s="221"/>
      <c r="I713" s="221"/>
      <c r="J713" s="221"/>
      <c r="K713" s="221"/>
      <c r="L713" s="220"/>
      <c r="M713" s="222"/>
    </row>
    <row r="714" spans="1:13" ht="12" customHeight="1">
      <c r="A714" s="223"/>
      <c r="B714" s="219"/>
      <c r="C714" s="219"/>
      <c r="D714" s="219"/>
      <c r="E714" s="220"/>
      <c r="F714" s="220"/>
      <c r="G714" s="221"/>
      <c r="H714" s="221"/>
      <c r="I714" s="221"/>
      <c r="J714" s="221"/>
      <c r="K714" s="221"/>
      <c r="L714" s="220"/>
      <c r="M714" s="222"/>
    </row>
    <row r="715" spans="1:13" ht="12" customHeight="1">
      <c r="A715" s="223"/>
      <c r="B715" s="219"/>
      <c r="C715" s="219"/>
      <c r="D715" s="219"/>
      <c r="E715" s="220"/>
      <c r="F715" s="220"/>
      <c r="G715" s="221"/>
      <c r="H715" s="221"/>
      <c r="I715" s="221"/>
      <c r="J715" s="221"/>
      <c r="K715" s="221"/>
      <c r="L715" s="220"/>
      <c r="M715" s="222"/>
    </row>
    <row r="716" spans="1:13" ht="12" customHeight="1">
      <c r="A716" s="223"/>
      <c r="B716" s="219"/>
      <c r="C716" s="219"/>
      <c r="D716" s="219"/>
      <c r="E716" s="220"/>
      <c r="F716" s="220"/>
      <c r="G716" s="221"/>
      <c r="H716" s="221"/>
      <c r="I716" s="221"/>
      <c r="J716" s="221"/>
      <c r="K716" s="221"/>
      <c r="L716" s="220"/>
      <c r="M716" s="222"/>
    </row>
    <row r="717" spans="1:13" ht="12" customHeight="1">
      <c r="A717" s="223"/>
      <c r="B717" s="219"/>
      <c r="C717" s="219"/>
      <c r="D717" s="219"/>
      <c r="E717" s="220"/>
      <c r="F717" s="220"/>
      <c r="G717" s="221"/>
      <c r="H717" s="221"/>
      <c r="I717" s="221"/>
      <c r="J717" s="221"/>
      <c r="K717" s="221"/>
      <c r="L717" s="220"/>
      <c r="M717" s="222"/>
    </row>
    <row r="718" spans="1:13" ht="12" customHeight="1">
      <c r="A718" s="223"/>
      <c r="B718" s="219"/>
      <c r="C718" s="219"/>
      <c r="D718" s="219"/>
      <c r="E718" s="220"/>
      <c r="F718" s="220"/>
      <c r="G718" s="221"/>
      <c r="H718" s="221"/>
      <c r="I718" s="221"/>
      <c r="J718" s="221"/>
      <c r="K718" s="221"/>
      <c r="L718" s="220"/>
      <c r="M718" s="222"/>
    </row>
    <row r="719" spans="1:13" ht="12" customHeight="1">
      <c r="A719" s="223"/>
      <c r="B719" s="219"/>
      <c r="C719" s="219"/>
      <c r="D719" s="219"/>
      <c r="E719" s="220"/>
      <c r="F719" s="220"/>
      <c r="G719" s="221"/>
      <c r="H719" s="221"/>
      <c r="I719" s="221"/>
      <c r="J719" s="221"/>
      <c r="K719" s="221"/>
      <c r="L719" s="220"/>
      <c r="M719" s="222"/>
    </row>
    <row r="720" spans="1:13" ht="12" customHeight="1">
      <c r="A720" s="223"/>
      <c r="B720" s="219"/>
      <c r="C720" s="219"/>
      <c r="D720" s="219"/>
      <c r="E720" s="220"/>
      <c r="F720" s="220"/>
      <c r="G720" s="221"/>
      <c r="H720" s="221"/>
      <c r="I720" s="221"/>
      <c r="J720" s="221"/>
      <c r="K720" s="221"/>
      <c r="L720" s="220"/>
      <c r="M720" s="222"/>
    </row>
    <row r="721" spans="1:13" ht="12" customHeight="1">
      <c r="A721" s="223"/>
      <c r="B721" s="219"/>
      <c r="C721" s="219"/>
      <c r="D721" s="219"/>
      <c r="E721" s="220"/>
      <c r="F721" s="220"/>
      <c r="G721" s="221"/>
      <c r="H721" s="221"/>
      <c r="I721" s="221"/>
      <c r="J721" s="221"/>
      <c r="K721" s="221"/>
      <c r="L721" s="220"/>
      <c r="M721" s="222"/>
    </row>
    <row r="722" spans="1:13" ht="12" customHeight="1">
      <c r="A722" s="223"/>
      <c r="B722" s="219"/>
      <c r="C722" s="219"/>
      <c r="D722" s="219"/>
      <c r="E722" s="220"/>
      <c r="F722" s="220"/>
      <c r="G722" s="221"/>
      <c r="H722" s="221"/>
      <c r="I722" s="221"/>
      <c r="J722" s="221"/>
      <c r="K722" s="221"/>
      <c r="L722" s="220"/>
      <c r="M722" s="222"/>
    </row>
    <row r="723" spans="1:13" ht="12" customHeight="1">
      <c r="A723" s="223"/>
      <c r="B723" s="219"/>
      <c r="C723" s="219"/>
      <c r="D723" s="219"/>
      <c r="E723" s="220"/>
      <c r="F723" s="220"/>
      <c r="G723" s="221"/>
      <c r="H723" s="221"/>
      <c r="I723" s="221"/>
      <c r="J723" s="221"/>
      <c r="K723" s="221"/>
      <c r="L723" s="220"/>
      <c r="M723" s="222"/>
    </row>
    <row r="724" spans="1:13" ht="12" customHeight="1">
      <c r="A724" s="223"/>
      <c r="B724" s="219"/>
      <c r="C724" s="219"/>
      <c r="D724" s="219"/>
      <c r="E724" s="220"/>
      <c r="F724" s="220"/>
      <c r="G724" s="221"/>
      <c r="H724" s="221"/>
      <c r="I724" s="221"/>
      <c r="J724" s="221"/>
      <c r="K724" s="221"/>
      <c r="L724" s="220"/>
      <c r="M724" s="222"/>
    </row>
    <row r="725" spans="1:13" ht="12" customHeight="1">
      <c r="A725" s="223"/>
      <c r="B725" s="219"/>
      <c r="C725" s="219"/>
      <c r="D725" s="219"/>
      <c r="E725" s="220"/>
      <c r="F725" s="220"/>
      <c r="G725" s="221"/>
      <c r="H725" s="221"/>
      <c r="I725" s="221"/>
      <c r="J725" s="221"/>
      <c r="K725" s="221"/>
      <c r="L725" s="220"/>
      <c r="M725" s="222"/>
    </row>
    <row r="726" spans="1:13" ht="12" customHeight="1">
      <c r="A726" s="223"/>
      <c r="B726" s="219"/>
      <c r="C726" s="219"/>
      <c r="D726" s="219"/>
      <c r="E726" s="220"/>
      <c r="F726" s="220"/>
      <c r="G726" s="221"/>
      <c r="H726" s="221"/>
      <c r="I726" s="221"/>
      <c r="J726" s="221"/>
      <c r="K726" s="221"/>
      <c r="L726" s="220"/>
      <c r="M726" s="222"/>
    </row>
    <row r="727" spans="1:13" ht="12" customHeight="1">
      <c r="A727" s="223"/>
      <c r="B727" s="219"/>
      <c r="C727" s="219"/>
      <c r="D727" s="219"/>
      <c r="E727" s="220"/>
      <c r="F727" s="220"/>
      <c r="G727" s="221"/>
      <c r="H727" s="221"/>
      <c r="I727" s="221"/>
      <c r="J727" s="221"/>
      <c r="K727" s="221"/>
      <c r="L727" s="220"/>
      <c r="M727" s="222"/>
    </row>
    <row r="728" spans="1:13" ht="12" customHeight="1">
      <c r="A728" s="223"/>
      <c r="B728" s="219"/>
      <c r="C728" s="219"/>
      <c r="D728" s="219"/>
      <c r="E728" s="220"/>
      <c r="F728" s="220"/>
      <c r="G728" s="221"/>
      <c r="H728" s="221"/>
      <c r="I728" s="221"/>
      <c r="J728" s="221"/>
      <c r="K728" s="221"/>
      <c r="L728" s="220"/>
      <c r="M728" s="222"/>
    </row>
    <row r="729" spans="1:13" ht="12" customHeight="1">
      <c r="A729" s="223"/>
      <c r="B729" s="219"/>
      <c r="C729" s="219"/>
      <c r="D729" s="219"/>
      <c r="E729" s="220"/>
      <c r="F729" s="220"/>
      <c r="G729" s="221"/>
      <c r="H729" s="221"/>
      <c r="I729" s="221"/>
      <c r="J729" s="221"/>
      <c r="K729" s="221"/>
      <c r="L729" s="220"/>
      <c r="M729" s="222"/>
    </row>
    <row r="730" spans="1:13" ht="12" customHeight="1">
      <c r="A730" s="223"/>
      <c r="B730" s="219"/>
      <c r="C730" s="219"/>
      <c r="D730" s="219"/>
      <c r="E730" s="220"/>
      <c r="F730" s="220"/>
      <c r="G730" s="221"/>
      <c r="H730" s="221"/>
      <c r="I730" s="221"/>
      <c r="J730" s="221"/>
      <c r="K730" s="221"/>
      <c r="L730" s="220"/>
      <c r="M730" s="222"/>
    </row>
    <row r="731" spans="1:13" ht="12" customHeight="1">
      <c r="A731" s="223"/>
      <c r="B731" s="219"/>
      <c r="C731" s="219"/>
      <c r="D731" s="219"/>
      <c r="E731" s="220"/>
      <c r="F731" s="220"/>
      <c r="G731" s="221"/>
      <c r="H731" s="221"/>
      <c r="I731" s="221"/>
      <c r="J731" s="221"/>
      <c r="K731" s="221"/>
      <c r="L731" s="220"/>
      <c r="M731" s="222"/>
    </row>
    <row r="732" spans="1:13" ht="12" customHeight="1">
      <c r="A732" s="223"/>
      <c r="B732" s="219"/>
      <c r="C732" s="219"/>
      <c r="D732" s="219"/>
      <c r="E732" s="220"/>
      <c r="F732" s="220"/>
      <c r="G732" s="221"/>
      <c r="H732" s="221"/>
      <c r="I732" s="221"/>
      <c r="J732" s="221"/>
      <c r="K732" s="221"/>
      <c r="L732" s="220"/>
      <c r="M732" s="222"/>
    </row>
    <row r="733" spans="1:13" ht="12" customHeight="1">
      <c r="A733" s="223"/>
      <c r="B733" s="219"/>
      <c r="C733" s="219"/>
      <c r="D733" s="219"/>
      <c r="E733" s="220"/>
      <c r="F733" s="220"/>
      <c r="G733" s="221"/>
      <c r="H733" s="221"/>
      <c r="I733" s="221"/>
      <c r="J733" s="221"/>
      <c r="K733" s="221"/>
      <c r="L733" s="220"/>
      <c r="M733" s="222"/>
    </row>
    <row r="734" spans="1:13" ht="12" customHeight="1">
      <c r="A734" s="223"/>
      <c r="B734" s="219"/>
      <c r="C734" s="219"/>
      <c r="D734" s="219"/>
      <c r="E734" s="220"/>
      <c r="F734" s="220"/>
      <c r="G734" s="221"/>
      <c r="H734" s="221"/>
      <c r="I734" s="221"/>
      <c r="J734" s="221"/>
      <c r="K734" s="221"/>
      <c r="L734" s="220"/>
      <c r="M734" s="222"/>
    </row>
    <row r="735" spans="1:13" ht="12" customHeight="1">
      <c r="A735" s="223"/>
      <c r="B735" s="219"/>
      <c r="C735" s="219"/>
      <c r="D735" s="219"/>
      <c r="E735" s="220"/>
      <c r="F735" s="220"/>
      <c r="G735" s="221"/>
      <c r="H735" s="221"/>
      <c r="I735" s="221"/>
      <c r="J735" s="221"/>
      <c r="K735" s="221"/>
      <c r="L735" s="220"/>
      <c r="M735" s="222"/>
    </row>
    <row r="736" spans="1:13" ht="12" customHeight="1">
      <c r="A736" s="223"/>
      <c r="B736" s="219"/>
      <c r="C736" s="219"/>
      <c r="D736" s="219"/>
      <c r="E736" s="220"/>
      <c r="F736" s="220"/>
      <c r="G736" s="221"/>
      <c r="H736" s="221"/>
      <c r="I736" s="221"/>
      <c r="J736" s="221"/>
      <c r="K736" s="221"/>
      <c r="L736" s="220"/>
      <c r="M736" s="222"/>
    </row>
    <row r="737" spans="1:13" ht="12" customHeight="1">
      <c r="A737" s="223"/>
      <c r="B737" s="219"/>
      <c r="C737" s="219"/>
      <c r="D737" s="219"/>
      <c r="E737" s="220"/>
      <c r="F737" s="220"/>
      <c r="G737" s="221"/>
      <c r="H737" s="221"/>
      <c r="I737" s="221"/>
      <c r="J737" s="221"/>
      <c r="K737" s="221"/>
      <c r="L737" s="220"/>
      <c r="M737" s="222"/>
    </row>
    <row r="738" spans="1:13" ht="12" customHeight="1">
      <c r="A738" s="223"/>
      <c r="B738" s="219"/>
      <c r="C738" s="219"/>
      <c r="D738" s="219"/>
      <c r="E738" s="220"/>
      <c r="F738" s="220"/>
      <c r="G738" s="221"/>
      <c r="H738" s="221"/>
      <c r="I738" s="221"/>
      <c r="J738" s="221"/>
      <c r="K738" s="221"/>
      <c r="L738" s="220"/>
      <c r="M738" s="222"/>
    </row>
    <row r="739" spans="1:13" ht="12" customHeight="1">
      <c r="A739" s="223"/>
      <c r="B739" s="219"/>
      <c r="C739" s="219"/>
      <c r="D739" s="219"/>
      <c r="E739" s="220"/>
      <c r="F739" s="220"/>
      <c r="G739" s="221"/>
      <c r="H739" s="221"/>
      <c r="I739" s="221"/>
      <c r="J739" s="221"/>
      <c r="K739" s="221"/>
      <c r="L739" s="220"/>
      <c r="M739" s="222"/>
    </row>
    <row r="740" spans="1:13" ht="12" customHeight="1">
      <c r="A740" s="223"/>
      <c r="B740" s="219"/>
      <c r="C740" s="219"/>
      <c r="D740" s="219"/>
      <c r="E740" s="220"/>
      <c r="F740" s="220"/>
      <c r="G740" s="221"/>
      <c r="H740" s="221"/>
      <c r="I740" s="221"/>
      <c r="J740" s="221"/>
      <c r="K740" s="221"/>
      <c r="L740" s="220"/>
      <c r="M740" s="222"/>
    </row>
    <row r="741" spans="1:13" ht="12" customHeight="1">
      <c r="A741" s="223"/>
      <c r="B741" s="219"/>
      <c r="C741" s="219"/>
      <c r="D741" s="219"/>
      <c r="E741" s="220"/>
      <c r="F741" s="220"/>
      <c r="G741" s="221"/>
      <c r="H741" s="221"/>
      <c r="I741" s="221"/>
      <c r="J741" s="221"/>
      <c r="K741" s="221"/>
      <c r="L741" s="220"/>
      <c r="M741" s="222"/>
    </row>
    <row r="742" spans="1:13" ht="12" customHeight="1">
      <c r="A742" s="223"/>
      <c r="B742" s="219"/>
      <c r="C742" s="219"/>
      <c r="D742" s="219"/>
      <c r="E742" s="220"/>
      <c r="F742" s="220"/>
      <c r="G742" s="221"/>
      <c r="H742" s="221"/>
      <c r="I742" s="221"/>
      <c r="J742" s="221"/>
      <c r="K742" s="221"/>
      <c r="L742" s="220"/>
      <c r="M742" s="222"/>
    </row>
    <row r="743" spans="1:13" ht="12" customHeight="1">
      <c r="A743" s="223"/>
      <c r="B743" s="219"/>
      <c r="C743" s="219"/>
      <c r="D743" s="219"/>
      <c r="E743" s="220"/>
      <c r="F743" s="220"/>
      <c r="G743" s="221"/>
      <c r="H743" s="221"/>
      <c r="I743" s="221"/>
      <c r="J743" s="221"/>
      <c r="K743" s="221"/>
      <c r="L743" s="220"/>
      <c r="M743" s="222"/>
    </row>
    <row r="744" spans="1:13" ht="12" customHeight="1">
      <c r="A744" s="223"/>
      <c r="B744" s="219"/>
      <c r="C744" s="219"/>
      <c r="D744" s="219"/>
      <c r="E744" s="220"/>
      <c r="F744" s="220"/>
      <c r="G744" s="221"/>
      <c r="H744" s="221"/>
      <c r="I744" s="221"/>
      <c r="J744" s="221"/>
      <c r="K744" s="221"/>
      <c r="L744" s="220"/>
      <c r="M744" s="222"/>
    </row>
    <row r="745" spans="1:13" ht="12" customHeight="1">
      <c r="A745" s="223"/>
      <c r="B745" s="219"/>
      <c r="C745" s="219"/>
      <c r="D745" s="219"/>
      <c r="E745" s="220"/>
      <c r="F745" s="220"/>
      <c r="G745" s="221"/>
      <c r="H745" s="221"/>
      <c r="I745" s="221"/>
      <c r="J745" s="221"/>
      <c r="K745" s="221"/>
      <c r="L745" s="220"/>
      <c r="M745" s="222"/>
    </row>
    <row r="746" spans="1:13" ht="12" customHeight="1">
      <c r="A746" s="223"/>
      <c r="B746" s="219"/>
      <c r="C746" s="219"/>
      <c r="D746" s="219"/>
      <c r="E746" s="220"/>
      <c r="F746" s="220"/>
      <c r="G746" s="221"/>
      <c r="H746" s="221"/>
      <c r="I746" s="221"/>
      <c r="J746" s="221"/>
      <c r="K746" s="221"/>
      <c r="L746" s="220"/>
      <c r="M746" s="222"/>
    </row>
    <row r="747" spans="1:13" ht="12" customHeight="1">
      <c r="A747" s="223"/>
      <c r="B747" s="219"/>
      <c r="C747" s="219"/>
      <c r="D747" s="219"/>
      <c r="E747" s="220"/>
      <c r="F747" s="220"/>
      <c r="G747" s="221"/>
      <c r="H747" s="221"/>
      <c r="I747" s="221"/>
      <c r="J747" s="221"/>
      <c r="K747" s="221"/>
      <c r="L747" s="220"/>
      <c r="M747" s="222"/>
    </row>
    <row r="748" spans="1:13" ht="12" customHeight="1">
      <c r="A748" s="223"/>
      <c r="B748" s="219"/>
      <c r="C748" s="219"/>
      <c r="D748" s="219"/>
      <c r="E748" s="220"/>
      <c r="F748" s="220"/>
      <c r="G748" s="221"/>
      <c r="H748" s="221"/>
      <c r="I748" s="221"/>
      <c r="J748" s="221"/>
      <c r="K748" s="221"/>
      <c r="L748" s="220"/>
      <c r="M748" s="222"/>
    </row>
    <row r="749" spans="1:13" ht="12" customHeight="1">
      <c r="A749" s="223"/>
      <c r="B749" s="219"/>
      <c r="C749" s="219"/>
      <c r="D749" s="219"/>
      <c r="E749" s="220"/>
      <c r="F749" s="220"/>
      <c r="G749" s="221"/>
      <c r="H749" s="221"/>
      <c r="I749" s="221"/>
      <c r="J749" s="221"/>
      <c r="K749" s="221"/>
      <c r="L749" s="220"/>
      <c r="M749" s="222"/>
    </row>
    <row r="750" spans="1:13" ht="12" customHeight="1">
      <c r="A750" s="223"/>
      <c r="B750" s="219"/>
      <c r="C750" s="219"/>
      <c r="D750" s="219"/>
      <c r="E750" s="220"/>
      <c r="F750" s="220"/>
      <c r="G750" s="221"/>
      <c r="H750" s="221"/>
      <c r="I750" s="221"/>
      <c r="J750" s="221"/>
      <c r="K750" s="221"/>
      <c r="L750" s="220"/>
      <c r="M750" s="222"/>
    </row>
    <row r="751" spans="1:13" ht="12" customHeight="1">
      <c r="A751" s="223"/>
      <c r="B751" s="219"/>
      <c r="C751" s="219"/>
      <c r="D751" s="219"/>
      <c r="E751" s="220"/>
      <c r="F751" s="220"/>
      <c r="G751" s="221"/>
      <c r="H751" s="221"/>
      <c r="I751" s="221"/>
      <c r="J751" s="221"/>
      <c r="K751" s="221"/>
      <c r="L751" s="220"/>
      <c r="M751" s="222"/>
    </row>
    <row r="752" spans="1:13" ht="12" customHeight="1">
      <c r="A752" s="223"/>
      <c r="B752" s="219"/>
      <c r="C752" s="219"/>
      <c r="D752" s="219"/>
      <c r="E752" s="220"/>
      <c r="F752" s="220"/>
      <c r="G752" s="221"/>
      <c r="H752" s="221"/>
      <c r="I752" s="221"/>
      <c r="J752" s="221"/>
      <c r="K752" s="221"/>
      <c r="L752" s="220"/>
      <c r="M752" s="222"/>
    </row>
    <row r="753" spans="1:13" ht="12" customHeight="1">
      <c r="A753" s="223"/>
      <c r="B753" s="219"/>
      <c r="C753" s="219"/>
      <c r="D753" s="219"/>
      <c r="E753" s="220"/>
      <c r="F753" s="220"/>
      <c r="G753" s="221"/>
      <c r="H753" s="221"/>
      <c r="I753" s="221"/>
      <c r="J753" s="221"/>
      <c r="K753" s="221"/>
      <c r="L753" s="220"/>
      <c r="M753" s="222"/>
    </row>
    <row r="754" spans="1:13" ht="12" customHeight="1">
      <c r="A754" s="223"/>
      <c r="B754" s="219"/>
      <c r="C754" s="219"/>
      <c r="D754" s="219"/>
      <c r="E754" s="220"/>
      <c r="F754" s="220"/>
      <c r="G754" s="221"/>
      <c r="H754" s="221"/>
      <c r="I754" s="221"/>
      <c r="J754" s="221"/>
      <c r="K754" s="221"/>
      <c r="L754" s="220"/>
      <c r="M754" s="222"/>
    </row>
    <row r="755" spans="1:13" ht="12" customHeight="1">
      <c r="A755" s="223"/>
      <c r="B755" s="219"/>
      <c r="C755" s="219"/>
      <c r="D755" s="219"/>
      <c r="E755" s="220"/>
      <c r="F755" s="220"/>
      <c r="G755" s="221"/>
      <c r="H755" s="221"/>
      <c r="I755" s="221"/>
      <c r="J755" s="221"/>
      <c r="K755" s="221"/>
      <c r="L755" s="220"/>
      <c r="M755" s="222"/>
    </row>
    <row r="756" spans="1:13" ht="12" customHeight="1">
      <c r="A756" s="223"/>
      <c r="B756" s="219"/>
      <c r="C756" s="219"/>
      <c r="D756" s="219"/>
      <c r="E756" s="220"/>
      <c r="F756" s="220"/>
      <c r="G756" s="221"/>
      <c r="H756" s="221"/>
      <c r="I756" s="221"/>
      <c r="J756" s="221"/>
      <c r="K756" s="221"/>
      <c r="L756" s="220"/>
      <c r="M756" s="222"/>
    </row>
    <row r="757" spans="1:13" ht="12" customHeight="1">
      <c r="A757" s="223"/>
      <c r="B757" s="219"/>
      <c r="C757" s="219"/>
      <c r="D757" s="219"/>
      <c r="E757" s="220"/>
      <c r="F757" s="220"/>
      <c r="G757" s="221"/>
      <c r="H757" s="221"/>
      <c r="I757" s="221"/>
      <c r="J757" s="221"/>
      <c r="K757" s="221"/>
      <c r="L757" s="220"/>
      <c r="M757" s="222"/>
    </row>
    <row r="758" spans="1:13" ht="12" customHeight="1">
      <c r="A758" s="223"/>
      <c r="B758" s="219"/>
      <c r="C758" s="219"/>
      <c r="D758" s="219"/>
      <c r="E758" s="220"/>
      <c r="F758" s="220"/>
      <c r="G758" s="221"/>
      <c r="H758" s="221"/>
      <c r="I758" s="221"/>
      <c r="J758" s="221"/>
      <c r="K758" s="221"/>
      <c r="L758" s="220"/>
      <c r="M758" s="222"/>
    </row>
    <row r="759" spans="1:13" ht="12" customHeight="1">
      <c r="A759" s="223"/>
      <c r="B759" s="219"/>
      <c r="C759" s="219"/>
      <c r="D759" s="219"/>
      <c r="E759" s="220"/>
      <c r="F759" s="220"/>
      <c r="G759" s="221"/>
      <c r="H759" s="221"/>
      <c r="I759" s="221"/>
      <c r="J759" s="221"/>
      <c r="K759" s="221"/>
      <c r="L759" s="220"/>
      <c r="M759" s="222"/>
    </row>
    <row r="760" spans="1:13" ht="12" customHeight="1">
      <c r="A760" s="223"/>
      <c r="B760" s="219"/>
      <c r="C760" s="219"/>
      <c r="D760" s="219"/>
      <c r="E760" s="220"/>
      <c r="F760" s="220"/>
      <c r="G760" s="221"/>
      <c r="H760" s="221"/>
      <c r="I760" s="221"/>
      <c r="J760" s="221"/>
      <c r="K760" s="221"/>
      <c r="L760" s="220"/>
      <c r="M760" s="222"/>
    </row>
    <row r="761" spans="1:13" ht="12" customHeight="1">
      <c r="A761" s="223"/>
      <c r="B761" s="219"/>
      <c r="C761" s="219"/>
      <c r="D761" s="219"/>
      <c r="E761" s="220"/>
      <c r="F761" s="220"/>
      <c r="G761" s="221"/>
      <c r="H761" s="221"/>
      <c r="I761" s="221"/>
      <c r="J761" s="221"/>
      <c r="K761" s="221"/>
      <c r="L761" s="220"/>
      <c r="M761" s="222"/>
    </row>
    <row r="762" spans="1:13" ht="12" customHeight="1">
      <c r="A762" s="223"/>
      <c r="B762" s="219"/>
      <c r="C762" s="219"/>
      <c r="D762" s="219"/>
      <c r="E762" s="220"/>
      <c r="F762" s="220"/>
      <c r="G762" s="221"/>
      <c r="H762" s="221"/>
      <c r="I762" s="221"/>
      <c r="J762" s="221"/>
      <c r="K762" s="221"/>
      <c r="L762" s="220"/>
      <c r="M762" s="222"/>
    </row>
    <row r="763" spans="1:13" ht="12" customHeight="1">
      <c r="A763" s="223"/>
      <c r="B763" s="219"/>
      <c r="C763" s="219"/>
      <c r="D763" s="219"/>
      <c r="E763" s="220"/>
      <c r="F763" s="220"/>
      <c r="G763" s="221"/>
      <c r="H763" s="221"/>
      <c r="I763" s="221"/>
      <c r="J763" s="221"/>
      <c r="K763" s="221"/>
      <c r="L763" s="220"/>
      <c r="M763" s="222"/>
    </row>
    <row r="764" spans="1:13" ht="12" customHeight="1">
      <c r="A764" s="223"/>
      <c r="B764" s="219"/>
      <c r="C764" s="219"/>
      <c r="D764" s="219"/>
      <c r="E764" s="220"/>
      <c r="F764" s="220"/>
      <c r="G764" s="221"/>
      <c r="H764" s="221"/>
      <c r="I764" s="221"/>
      <c r="J764" s="221"/>
      <c r="K764" s="221"/>
      <c r="L764" s="220"/>
      <c r="M764" s="222"/>
    </row>
    <row r="765" spans="1:13" ht="12" customHeight="1">
      <c r="A765" s="223"/>
      <c r="B765" s="219"/>
      <c r="C765" s="219"/>
      <c r="D765" s="219"/>
      <c r="E765" s="220"/>
      <c r="F765" s="220"/>
      <c r="G765" s="221"/>
      <c r="H765" s="221"/>
      <c r="I765" s="221"/>
      <c r="J765" s="221"/>
      <c r="K765" s="221"/>
      <c r="L765" s="220"/>
      <c r="M765" s="222"/>
    </row>
    <row r="766" spans="1:13" ht="12" customHeight="1">
      <c r="A766" s="223"/>
      <c r="B766" s="219"/>
      <c r="C766" s="219"/>
      <c r="D766" s="219"/>
      <c r="E766" s="220"/>
      <c r="F766" s="220"/>
      <c r="G766" s="221"/>
      <c r="H766" s="221"/>
      <c r="I766" s="221"/>
      <c r="J766" s="221"/>
      <c r="K766" s="221"/>
      <c r="L766" s="220"/>
      <c r="M766" s="222"/>
    </row>
    <row r="767" spans="1:13" ht="12" customHeight="1">
      <c r="A767" s="223"/>
      <c r="B767" s="219"/>
      <c r="C767" s="219"/>
      <c r="D767" s="219"/>
      <c r="E767" s="220"/>
      <c r="F767" s="220"/>
      <c r="G767" s="221"/>
      <c r="H767" s="221"/>
      <c r="I767" s="221"/>
      <c r="J767" s="221"/>
      <c r="K767" s="221"/>
      <c r="L767" s="220"/>
      <c r="M767" s="222"/>
    </row>
    <row r="768" spans="1:13" ht="12" customHeight="1">
      <c r="A768" s="223"/>
      <c r="B768" s="219"/>
      <c r="C768" s="219"/>
      <c r="D768" s="219"/>
      <c r="E768" s="220"/>
      <c r="F768" s="220"/>
      <c r="G768" s="221"/>
      <c r="H768" s="221"/>
      <c r="I768" s="221"/>
      <c r="J768" s="221"/>
      <c r="K768" s="221"/>
      <c r="L768" s="220"/>
      <c r="M768" s="222"/>
    </row>
    <row r="769" spans="1:13" ht="12" customHeight="1">
      <c r="A769" s="223"/>
      <c r="B769" s="219"/>
      <c r="C769" s="219"/>
      <c r="D769" s="219"/>
      <c r="E769" s="220"/>
      <c r="F769" s="220"/>
      <c r="G769" s="221"/>
      <c r="H769" s="221"/>
      <c r="I769" s="221"/>
      <c r="J769" s="221"/>
      <c r="K769" s="221"/>
      <c r="L769" s="220"/>
      <c r="M769" s="222"/>
    </row>
    <row r="770" spans="1:13" ht="12" customHeight="1">
      <c r="A770" s="223"/>
      <c r="B770" s="219"/>
      <c r="C770" s="219"/>
      <c r="D770" s="219"/>
      <c r="E770" s="220"/>
      <c r="F770" s="220"/>
      <c r="G770" s="221"/>
      <c r="H770" s="221"/>
      <c r="I770" s="221"/>
      <c r="J770" s="221"/>
      <c r="K770" s="221"/>
      <c r="L770" s="220"/>
      <c r="M770" s="222"/>
    </row>
    <row r="771" spans="1:13" ht="12" customHeight="1">
      <c r="A771" s="223"/>
      <c r="B771" s="219"/>
      <c r="C771" s="219"/>
      <c r="D771" s="219"/>
      <c r="E771" s="220"/>
      <c r="F771" s="220"/>
      <c r="G771" s="221"/>
      <c r="H771" s="221"/>
      <c r="I771" s="221"/>
      <c r="J771" s="221"/>
      <c r="K771" s="221"/>
      <c r="L771" s="220"/>
      <c r="M771" s="222"/>
    </row>
    <row r="772" spans="1:13" ht="12" customHeight="1">
      <c r="A772" s="223"/>
      <c r="B772" s="219"/>
      <c r="C772" s="219"/>
      <c r="D772" s="219"/>
      <c r="E772" s="220"/>
      <c r="F772" s="220"/>
      <c r="G772" s="221"/>
      <c r="H772" s="221"/>
      <c r="I772" s="221"/>
      <c r="J772" s="221"/>
      <c r="K772" s="221"/>
      <c r="L772" s="220"/>
      <c r="M772" s="222"/>
    </row>
    <row r="773" spans="1:13" ht="12" customHeight="1">
      <c r="A773" s="223"/>
      <c r="B773" s="219"/>
      <c r="C773" s="219"/>
      <c r="D773" s="219"/>
      <c r="E773" s="220"/>
      <c r="F773" s="220"/>
      <c r="G773" s="221"/>
      <c r="H773" s="221"/>
      <c r="I773" s="221"/>
      <c r="J773" s="221"/>
      <c r="K773" s="221"/>
      <c r="L773" s="220"/>
      <c r="M773" s="222"/>
    </row>
    <row r="774" spans="1:13" ht="12" customHeight="1">
      <c r="A774" s="223"/>
      <c r="B774" s="219"/>
      <c r="C774" s="219"/>
      <c r="D774" s="219"/>
      <c r="E774" s="220"/>
      <c r="F774" s="220"/>
      <c r="G774" s="221"/>
      <c r="H774" s="221"/>
      <c r="I774" s="221"/>
      <c r="J774" s="221"/>
      <c r="K774" s="221"/>
      <c r="L774" s="220"/>
      <c r="M774" s="222"/>
    </row>
    <row r="775" spans="1:13" ht="12" customHeight="1">
      <c r="A775" s="223"/>
      <c r="B775" s="219"/>
      <c r="C775" s="219"/>
      <c r="D775" s="219"/>
      <c r="E775" s="220"/>
      <c r="F775" s="220"/>
      <c r="G775" s="221"/>
      <c r="H775" s="221"/>
      <c r="I775" s="221"/>
      <c r="J775" s="221"/>
      <c r="K775" s="221"/>
      <c r="L775" s="220"/>
      <c r="M775" s="222"/>
    </row>
    <row r="776" spans="1:13" ht="12" customHeight="1">
      <c r="A776" s="223"/>
      <c r="B776" s="219"/>
      <c r="C776" s="219"/>
      <c r="D776" s="219"/>
      <c r="E776" s="220"/>
      <c r="F776" s="220"/>
      <c r="G776" s="221"/>
      <c r="H776" s="221"/>
      <c r="I776" s="221"/>
      <c r="J776" s="221"/>
      <c r="K776" s="221"/>
      <c r="L776" s="220"/>
      <c r="M776" s="222"/>
    </row>
    <row r="777" spans="1:13" ht="12" customHeight="1">
      <c r="A777" s="223"/>
      <c r="B777" s="219"/>
      <c r="C777" s="219"/>
      <c r="D777" s="219"/>
      <c r="E777" s="220"/>
      <c r="F777" s="220"/>
      <c r="G777" s="221"/>
      <c r="H777" s="221"/>
      <c r="I777" s="221"/>
      <c r="J777" s="221"/>
      <c r="K777" s="221"/>
      <c r="L777" s="220"/>
      <c r="M777" s="222"/>
    </row>
    <row r="778" spans="1:13" ht="12" customHeight="1">
      <c r="A778" s="223"/>
      <c r="B778" s="219"/>
      <c r="C778" s="219"/>
      <c r="D778" s="219"/>
      <c r="E778" s="220"/>
      <c r="F778" s="220"/>
      <c r="G778" s="221"/>
      <c r="H778" s="221"/>
      <c r="I778" s="221"/>
      <c r="J778" s="221"/>
      <c r="K778" s="221"/>
      <c r="L778" s="220"/>
      <c r="M778" s="222"/>
    </row>
    <row r="779" spans="1:13" ht="12" customHeight="1">
      <c r="A779" s="223"/>
      <c r="B779" s="219"/>
      <c r="C779" s="219"/>
      <c r="D779" s="219"/>
      <c r="E779" s="220"/>
      <c r="F779" s="220"/>
      <c r="G779" s="221"/>
      <c r="H779" s="221"/>
      <c r="I779" s="221"/>
      <c r="J779" s="221"/>
      <c r="K779" s="221"/>
      <c r="L779" s="220"/>
      <c r="M779" s="222"/>
    </row>
    <row r="780" spans="1:13" ht="12" customHeight="1">
      <c r="A780" s="223"/>
      <c r="B780" s="219"/>
      <c r="C780" s="219"/>
      <c r="D780" s="219"/>
      <c r="E780" s="220"/>
      <c r="F780" s="220"/>
      <c r="G780" s="221"/>
      <c r="H780" s="221"/>
      <c r="I780" s="221"/>
      <c r="J780" s="221"/>
      <c r="K780" s="221"/>
      <c r="L780" s="220"/>
      <c r="M780" s="222"/>
    </row>
    <row r="781" spans="1:13" ht="12" customHeight="1">
      <c r="A781" s="223"/>
      <c r="B781" s="219"/>
      <c r="C781" s="219"/>
      <c r="D781" s="219"/>
      <c r="E781" s="220"/>
      <c r="F781" s="220"/>
      <c r="G781" s="221"/>
      <c r="H781" s="221"/>
      <c r="I781" s="221"/>
      <c r="J781" s="221"/>
      <c r="K781" s="221"/>
      <c r="L781" s="220"/>
      <c r="M781" s="222"/>
    </row>
    <row r="782" spans="1:13" ht="12" customHeight="1">
      <c r="A782" s="223"/>
      <c r="B782" s="219"/>
      <c r="C782" s="219"/>
      <c r="D782" s="219"/>
      <c r="E782" s="220"/>
      <c r="F782" s="220"/>
      <c r="G782" s="221"/>
      <c r="H782" s="221"/>
      <c r="I782" s="221"/>
      <c r="J782" s="221"/>
      <c r="K782" s="221"/>
      <c r="L782" s="220"/>
      <c r="M782" s="222"/>
    </row>
    <row r="783" spans="1:13" ht="12" customHeight="1">
      <c r="A783" s="223"/>
      <c r="B783" s="219"/>
      <c r="C783" s="219"/>
      <c r="D783" s="219"/>
      <c r="E783" s="220"/>
      <c r="F783" s="220"/>
      <c r="G783" s="221"/>
      <c r="H783" s="221"/>
      <c r="I783" s="221"/>
      <c r="J783" s="221"/>
      <c r="K783" s="221"/>
      <c r="L783" s="220"/>
      <c r="M783" s="222"/>
    </row>
    <row r="784" spans="1:13" ht="12" customHeight="1">
      <c r="A784" s="223"/>
      <c r="B784" s="219"/>
      <c r="C784" s="219"/>
      <c r="D784" s="219"/>
      <c r="E784" s="220"/>
      <c r="F784" s="220"/>
      <c r="G784" s="221"/>
      <c r="H784" s="221"/>
      <c r="I784" s="221"/>
      <c r="J784" s="221"/>
      <c r="K784" s="221"/>
      <c r="L784" s="220"/>
      <c r="M784" s="222"/>
    </row>
    <row r="785" spans="1:13" ht="12" customHeight="1">
      <c r="A785" s="223"/>
      <c r="B785" s="219"/>
      <c r="C785" s="219"/>
      <c r="D785" s="219"/>
      <c r="E785" s="220"/>
      <c r="F785" s="220"/>
      <c r="G785" s="221"/>
      <c r="H785" s="221"/>
      <c r="I785" s="221"/>
      <c r="J785" s="221"/>
      <c r="K785" s="221"/>
      <c r="L785" s="220"/>
      <c r="M785" s="222"/>
    </row>
    <row r="786" spans="1:13" ht="12" customHeight="1">
      <c r="A786" s="223"/>
      <c r="B786" s="219"/>
      <c r="C786" s="219"/>
      <c r="D786" s="219"/>
      <c r="E786" s="220"/>
      <c r="F786" s="220"/>
      <c r="G786" s="221"/>
      <c r="H786" s="221"/>
      <c r="I786" s="221"/>
      <c r="J786" s="221"/>
      <c r="K786" s="221"/>
      <c r="L786" s="220"/>
      <c r="M786" s="222"/>
    </row>
    <row r="787" spans="1:13" ht="12" customHeight="1">
      <c r="A787" s="223"/>
      <c r="B787" s="219"/>
      <c r="C787" s="219"/>
      <c r="D787" s="219"/>
      <c r="E787" s="220"/>
      <c r="F787" s="220"/>
      <c r="G787" s="221"/>
      <c r="H787" s="221"/>
      <c r="I787" s="221"/>
      <c r="J787" s="221"/>
      <c r="K787" s="221"/>
      <c r="L787" s="220"/>
      <c r="M787" s="222"/>
    </row>
    <row r="788" spans="1:13" ht="12" customHeight="1">
      <c r="A788" s="223"/>
      <c r="B788" s="219"/>
      <c r="C788" s="219"/>
      <c r="D788" s="219"/>
      <c r="E788" s="220"/>
      <c r="F788" s="220"/>
      <c r="G788" s="221"/>
      <c r="H788" s="221"/>
      <c r="I788" s="221"/>
      <c r="J788" s="221"/>
      <c r="K788" s="221"/>
      <c r="L788" s="220"/>
      <c r="M788" s="222"/>
    </row>
    <row r="789" spans="1:13" ht="12" customHeight="1">
      <c r="A789" s="223"/>
      <c r="B789" s="219"/>
      <c r="C789" s="219"/>
      <c r="D789" s="219"/>
      <c r="E789" s="220"/>
      <c r="F789" s="220"/>
      <c r="G789" s="221"/>
      <c r="H789" s="221"/>
      <c r="I789" s="221"/>
      <c r="J789" s="221"/>
      <c r="K789" s="221"/>
      <c r="L789" s="220"/>
      <c r="M789" s="222"/>
    </row>
    <row r="790" spans="1:13" ht="12" customHeight="1">
      <c r="A790" s="223"/>
      <c r="B790" s="219"/>
      <c r="C790" s="219"/>
      <c r="D790" s="219"/>
      <c r="E790" s="220"/>
      <c r="F790" s="220"/>
      <c r="G790" s="221"/>
      <c r="H790" s="221"/>
      <c r="I790" s="221"/>
      <c r="J790" s="221"/>
      <c r="K790" s="221"/>
      <c r="L790" s="220"/>
      <c r="M790" s="222"/>
    </row>
    <row r="791" spans="1:13" ht="12" customHeight="1">
      <c r="A791" s="223"/>
      <c r="B791" s="219"/>
      <c r="C791" s="219"/>
      <c r="D791" s="219"/>
      <c r="E791" s="220"/>
      <c r="F791" s="220"/>
      <c r="G791" s="221"/>
      <c r="H791" s="221"/>
      <c r="I791" s="221"/>
      <c r="J791" s="221"/>
      <c r="K791" s="221"/>
      <c r="L791" s="220"/>
      <c r="M791" s="222"/>
    </row>
    <row r="792" spans="1:13" ht="12" customHeight="1">
      <c r="A792" s="223"/>
      <c r="B792" s="219"/>
      <c r="C792" s="219"/>
      <c r="D792" s="219"/>
      <c r="E792" s="220"/>
      <c r="F792" s="220"/>
      <c r="G792" s="221"/>
      <c r="H792" s="221"/>
      <c r="I792" s="221"/>
      <c r="J792" s="221"/>
      <c r="K792" s="221"/>
      <c r="L792" s="220"/>
      <c r="M792" s="222"/>
    </row>
    <row r="793" spans="1:13" ht="12" customHeight="1">
      <c r="A793" s="223"/>
      <c r="B793" s="219"/>
      <c r="C793" s="219"/>
      <c r="D793" s="219"/>
      <c r="E793" s="220"/>
      <c r="F793" s="220"/>
      <c r="G793" s="221"/>
      <c r="H793" s="221"/>
      <c r="I793" s="221"/>
      <c r="J793" s="221"/>
      <c r="K793" s="221"/>
      <c r="L793" s="220"/>
      <c r="M793" s="222"/>
    </row>
    <row r="794" spans="1:13" ht="12" customHeight="1">
      <c r="A794" s="223"/>
      <c r="B794" s="219"/>
      <c r="C794" s="219"/>
      <c r="D794" s="219"/>
      <c r="E794" s="220"/>
      <c r="F794" s="220"/>
      <c r="G794" s="221"/>
      <c r="H794" s="221"/>
      <c r="I794" s="221"/>
      <c r="J794" s="221"/>
      <c r="K794" s="221"/>
      <c r="L794" s="220"/>
      <c r="M794" s="222"/>
    </row>
    <row r="795" spans="1:13" ht="12" customHeight="1">
      <c r="A795" s="223"/>
      <c r="B795" s="219"/>
      <c r="C795" s="219"/>
      <c r="D795" s="219"/>
      <c r="E795" s="220"/>
      <c r="F795" s="220"/>
      <c r="G795" s="221"/>
      <c r="H795" s="221"/>
      <c r="I795" s="221"/>
      <c r="J795" s="221"/>
      <c r="K795" s="221"/>
      <c r="L795" s="220"/>
      <c r="M795" s="222"/>
    </row>
    <row r="796" spans="1:13" ht="12" customHeight="1">
      <c r="A796" s="223"/>
      <c r="B796" s="219"/>
      <c r="C796" s="219"/>
      <c r="D796" s="219"/>
      <c r="E796" s="220"/>
      <c r="F796" s="220"/>
      <c r="G796" s="221"/>
      <c r="H796" s="221"/>
      <c r="I796" s="221"/>
      <c r="J796" s="221"/>
      <c r="K796" s="221"/>
      <c r="L796" s="220"/>
      <c r="M796" s="222"/>
    </row>
    <row r="797" spans="1:13" ht="12" customHeight="1">
      <c r="A797" s="223"/>
      <c r="B797" s="219"/>
      <c r="C797" s="219"/>
      <c r="D797" s="219"/>
      <c r="E797" s="220"/>
      <c r="F797" s="220"/>
      <c r="G797" s="221"/>
      <c r="H797" s="221"/>
      <c r="I797" s="221"/>
      <c r="J797" s="221"/>
      <c r="K797" s="221"/>
      <c r="L797" s="220"/>
      <c r="M797" s="222"/>
    </row>
    <row r="798" spans="1:13" ht="12" customHeight="1">
      <c r="A798" s="223"/>
      <c r="B798" s="219"/>
      <c r="C798" s="219"/>
      <c r="D798" s="219"/>
      <c r="E798" s="220"/>
      <c r="F798" s="220"/>
      <c r="G798" s="221"/>
      <c r="H798" s="221"/>
      <c r="I798" s="221"/>
      <c r="J798" s="221"/>
      <c r="K798" s="221"/>
      <c r="L798" s="220"/>
      <c r="M798" s="222"/>
    </row>
    <row r="799" spans="1:13" ht="12" customHeight="1">
      <c r="A799" s="223"/>
      <c r="B799" s="219"/>
      <c r="C799" s="219"/>
      <c r="D799" s="219"/>
      <c r="E799" s="220"/>
      <c r="F799" s="220"/>
      <c r="G799" s="221"/>
      <c r="H799" s="221"/>
      <c r="I799" s="221"/>
      <c r="J799" s="221"/>
      <c r="K799" s="221"/>
      <c r="L799" s="220"/>
      <c r="M799" s="222"/>
    </row>
    <row r="800" spans="1:13" ht="12" customHeight="1">
      <c r="A800" s="223"/>
      <c r="B800" s="219"/>
      <c r="C800" s="219"/>
      <c r="D800" s="219"/>
      <c r="E800" s="220"/>
      <c r="F800" s="220"/>
      <c r="G800" s="221"/>
      <c r="H800" s="221"/>
      <c r="I800" s="221"/>
      <c r="J800" s="221"/>
      <c r="K800" s="221"/>
      <c r="L800" s="220"/>
      <c r="M800" s="222"/>
    </row>
    <row r="801" spans="1:13" ht="12" customHeight="1">
      <c r="A801" s="223"/>
      <c r="B801" s="219"/>
      <c r="C801" s="219"/>
      <c r="D801" s="219"/>
      <c r="E801" s="220"/>
      <c r="F801" s="220"/>
      <c r="G801" s="221"/>
      <c r="H801" s="221"/>
      <c r="I801" s="221"/>
      <c r="J801" s="221"/>
      <c r="K801" s="221"/>
      <c r="L801" s="220"/>
      <c r="M801" s="222"/>
    </row>
    <row r="802" spans="1:13" ht="12" customHeight="1">
      <c r="A802" s="223"/>
      <c r="B802" s="219"/>
      <c r="C802" s="219"/>
      <c r="D802" s="219"/>
      <c r="E802" s="220"/>
      <c r="F802" s="220"/>
      <c r="G802" s="221"/>
      <c r="H802" s="221"/>
      <c r="I802" s="221"/>
      <c r="J802" s="221"/>
      <c r="K802" s="221"/>
      <c r="L802" s="220"/>
      <c r="M802" s="222"/>
    </row>
    <row r="803" spans="1:13" ht="12" customHeight="1">
      <c r="A803" s="223"/>
      <c r="B803" s="219"/>
      <c r="C803" s="219"/>
      <c r="D803" s="219"/>
      <c r="E803" s="220"/>
      <c r="F803" s="220"/>
      <c r="G803" s="221"/>
      <c r="H803" s="221"/>
      <c r="I803" s="221"/>
      <c r="J803" s="221"/>
      <c r="K803" s="221"/>
      <c r="L803" s="220"/>
      <c r="M803" s="222"/>
    </row>
    <row r="804" spans="1:13" ht="12" customHeight="1">
      <c r="A804" s="223"/>
      <c r="B804" s="219"/>
      <c r="C804" s="219"/>
      <c r="D804" s="219"/>
      <c r="E804" s="220"/>
      <c r="F804" s="220"/>
      <c r="G804" s="221"/>
      <c r="H804" s="221"/>
      <c r="I804" s="221"/>
      <c r="J804" s="221"/>
      <c r="K804" s="221"/>
      <c r="L804" s="220"/>
      <c r="M804" s="222"/>
    </row>
    <row r="805" spans="1:13" ht="12" customHeight="1">
      <c r="A805" s="223"/>
      <c r="B805" s="219"/>
      <c r="C805" s="219"/>
      <c r="D805" s="219"/>
      <c r="E805" s="220"/>
      <c r="F805" s="220"/>
      <c r="G805" s="221"/>
      <c r="H805" s="221"/>
      <c r="I805" s="221"/>
      <c r="J805" s="221"/>
      <c r="K805" s="221"/>
      <c r="L805" s="220"/>
      <c r="M805" s="222"/>
    </row>
    <row r="806" spans="1:13" ht="12" customHeight="1">
      <c r="A806" s="223"/>
      <c r="B806" s="219"/>
      <c r="C806" s="219"/>
      <c r="D806" s="219"/>
      <c r="E806" s="220"/>
      <c r="F806" s="220"/>
      <c r="G806" s="221"/>
      <c r="H806" s="221"/>
      <c r="I806" s="221"/>
      <c r="J806" s="221"/>
      <c r="K806" s="221"/>
      <c r="L806" s="220"/>
      <c r="M806" s="222"/>
    </row>
    <row r="807" spans="1:13" ht="12" customHeight="1">
      <c r="A807" s="223"/>
      <c r="B807" s="219"/>
      <c r="C807" s="219"/>
      <c r="D807" s="219"/>
      <c r="E807" s="220"/>
      <c r="F807" s="220"/>
      <c r="G807" s="221"/>
      <c r="H807" s="221"/>
      <c r="I807" s="221"/>
      <c r="J807" s="221"/>
      <c r="K807" s="221"/>
      <c r="L807" s="220"/>
      <c r="M807" s="222"/>
    </row>
    <row r="808" spans="1:13" ht="12" customHeight="1">
      <c r="A808" s="223"/>
      <c r="B808" s="219"/>
      <c r="C808" s="219"/>
      <c r="D808" s="219"/>
      <c r="E808" s="220"/>
      <c r="F808" s="220"/>
      <c r="G808" s="221"/>
      <c r="H808" s="221"/>
      <c r="I808" s="221"/>
      <c r="J808" s="221"/>
      <c r="K808" s="221"/>
      <c r="L808" s="220"/>
      <c r="M808" s="222"/>
    </row>
    <row r="809" spans="1:13" ht="12" customHeight="1">
      <c r="A809" s="223"/>
      <c r="B809" s="219"/>
      <c r="C809" s="219"/>
      <c r="D809" s="219"/>
      <c r="E809" s="220"/>
      <c r="F809" s="220"/>
      <c r="G809" s="221"/>
      <c r="H809" s="221"/>
      <c r="I809" s="221"/>
      <c r="J809" s="221"/>
      <c r="K809" s="221"/>
      <c r="L809" s="220"/>
      <c r="M809" s="222"/>
    </row>
    <row r="810" spans="1:13" ht="12" customHeight="1">
      <c r="A810" s="223"/>
      <c r="B810" s="219"/>
      <c r="C810" s="219"/>
      <c r="D810" s="219"/>
      <c r="E810" s="220"/>
      <c r="F810" s="220"/>
      <c r="G810" s="221"/>
      <c r="H810" s="221"/>
      <c r="I810" s="221"/>
      <c r="J810" s="221"/>
      <c r="K810" s="221"/>
      <c r="L810" s="220"/>
      <c r="M810" s="222"/>
    </row>
    <row r="811" spans="1:13" ht="12" customHeight="1">
      <c r="A811" s="223"/>
      <c r="B811" s="219"/>
      <c r="C811" s="219"/>
      <c r="D811" s="219"/>
      <c r="E811" s="220"/>
      <c r="F811" s="220"/>
      <c r="G811" s="221"/>
      <c r="H811" s="221"/>
      <c r="I811" s="221"/>
      <c r="J811" s="221"/>
      <c r="K811" s="221"/>
      <c r="L811" s="220"/>
      <c r="M811" s="222"/>
    </row>
    <row r="812" spans="1:13" ht="12" customHeight="1">
      <c r="A812" s="223"/>
      <c r="B812" s="219"/>
      <c r="C812" s="219"/>
      <c r="D812" s="219"/>
      <c r="E812" s="220"/>
      <c r="F812" s="220"/>
      <c r="G812" s="221"/>
      <c r="H812" s="221"/>
      <c r="I812" s="221"/>
      <c r="J812" s="221"/>
      <c r="K812" s="221"/>
      <c r="L812" s="220"/>
      <c r="M812" s="222"/>
    </row>
    <row r="813" spans="1:13" ht="12" customHeight="1">
      <c r="A813" s="223"/>
      <c r="B813" s="219"/>
      <c r="C813" s="219"/>
      <c r="D813" s="219"/>
      <c r="E813" s="220"/>
      <c r="F813" s="220"/>
      <c r="G813" s="221"/>
      <c r="H813" s="221"/>
      <c r="I813" s="221"/>
      <c r="J813" s="221"/>
      <c r="K813" s="221"/>
      <c r="L813" s="220"/>
      <c r="M813" s="222"/>
    </row>
    <row r="814" spans="1:13" ht="12" customHeight="1">
      <c r="A814" s="223"/>
      <c r="B814" s="219"/>
      <c r="C814" s="219"/>
      <c r="D814" s="219"/>
      <c r="E814" s="220"/>
      <c r="F814" s="220"/>
      <c r="G814" s="221"/>
      <c r="H814" s="221"/>
      <c r="I814" s="221"/>
      <c r="J814" s="221"/>
      <c r="K814" s="221"/>
      <c r="L814" s="220"/>
      <c r="M814" s="222"/>
    </row>
    <row r="815" spans="1:13" ht="12" customHeight="1">
      <c r="A815" s="223"/>
      <c r="B815" s="219"/>
      <c r="C815" s="219"/>
      <c r="D815" s="219"/>
      <c r="E815" s="220"/>
      <c r="F815" s="220"/>
      <c r="G815" s="221"/>
      <c r="H815" s="221"/>
      <c r="I815" s="221"/>
      <c r="J815" s="221"/>
      <c r="K815" s="221"/>
      <c r="L815" s="220"/>
      <c r="M815" s="222"/>
    </row>
    <row r="816" spans="1:13" ht="12" customHeight="1">
      <c r="A816" s="223"/>
      <c r="B816" s="219"/>
      <c r="C816" s="219"/>
      <c r="D816" s="219"/>
      <c r="E816" s="220"/>
      <c r="F816" s="220"/>
      <c r="G816" s="221"/>
      <c r="H816" s="221"/>
      <c r="I816" s="221"/>
      <c r="J816" s="221"/>
      <c r="K816" s="221"/>
      <c r="L816" s="220"/>
      <c r="M816" s="222"/>
    </row>
    <row r="817" spans="1:13" ht="12" customHeight="1">
      <c r="A817" s="223"/>
      <c r="B817" s="219"/>
      <c r="C817" s="219"/>
      <c r="D817" s="219"/>
      <c r="E817" s="220"/>
      <c r="F817" s="220"/>
      <c r="G817" s="221"/>
      <c r="H817" s="221"/>
      <c r="I817" s="221"/>
      <c r="J817" s="221"/>
      <c r="K817" s="221"/>
      <c r="L817" s="220"/>
      <c r="M817" s="222"/>
    </row>
    <row r="818" spans="1:13" ht="12" customHeight="1">
      <c r="A818" s="223"/>
      <c r="B818" s="219"/>
      <c r="C818" s="219"/>
      <c r="D818" s="219"/>
      <c r="E818" s="220"/>
      <c r="F818" s="220"/>
      <c r="G818" s="221"/>
      <c r="H818" s="221"/>
      <c r="I818" s="221"/>
      <c r="J818" s="221"/>
      <c r="K818" s="221"/>
      <c r="L818" s="220"/>
      <c r="M818" s="222"/>
    </row>
    <row r="819" spans="1:13" ht="12" customHeight="1">
      <c r="A819" s="223"/>
      <c r="B819" s="219"/>
      <c r="C819" s="219"/>
      <c r="D819" s="219"/>
      <c r="E819" s="220"/>
      <c r="F819" s="220"/>
      <c r="G819" s="221"/>
      <c r="H819" s="221"/>
      <c r="I819" s="221"/>
      <c r="J819" s="221"/>
      <c r="K819" s="221"/>
      <c r="L819" s="220"/>
      <c r="M819" s="222"/>
    </row>
    <row r="820" spans="1:13" ht="12" customHeight="1">
      <c r="A820" s="223"/>
      <c r="B820" s="219"/>
      <c r="C820" s="219"/>
      <c r="D820" s="219"/>
      <c r="E820" s="220"/>
      <c r="F820" s="220"/>
      <c r="G820" s="221"/>
      <c r="H820" s="221"/>
      <c r="I820" s="221"/>
      <c r="J820" s="221"/>
      <c r="K820" s="221"/>
      <c r="L820" s="220"/>
      <c r="M820" s="222"/>
    </row>
    <row r="821" spans="1:13" ht="12" customHeight="1">
      <c r="A821" s="223"/>
      <c r="B821" s="219"/>
      <c r="C821" s="219"/>
      <c r="D821" s="219"/>
      <c r="E821" s="220"/>
      <c r="F821" s="220"/>
      <c r="G821" s="221"/>
      <c r="H821" s="221"/>
      <c r="I821" s="221"/>
      <c r="J821" s="221"/>
      <c r="K821" s="221"/>
      <c r="L821" s="220"/>
      <c r="M821" s="222"/>
    </row>
    <row r="822" spans="1:13" ht="12" customHeight="1">
      <c r="A822" s="223"/>
      <c r="B822" s="219"/>
      <c r="C822" s="219"/>
      <c r="D822" s="219"/>
      <c r="E822" s="220"/>
      <c r="F822" s="220"/>
      <c r="G822" s="221"/>
      <c r="H822" s="221"/>
      <c r="I822" s="221"/>
      <c r="J822" s="221"/>
      <c r="K822" s="221"/>
      <c r="L822" s="220"/>
      <c r="M822" s="222"/>
    </row>
    <row r="823" spans="1:13" ht="12" customHeight="1">
      <c r="A823" s="223"/>
      <c r="B823" s="219"/>
      <c r="C823" s="219"/>
      <c r="D823" s="219"/>
      <c r="E823" s="220"/>
      <c r="F823" s="220"/>
      <c r="G823" s="221"/>
      <c r="H823" s="221"/>
      <c r="I823" s="221"/>
      <c r="J823" s="221"/>
      <c r="K823" s="221"/>
      <c r="L823" s="220"/>
      <c r="M823" s="222"/>
    </row>
    <row r="824" spans="1:13" ht="12" customHeight="1">
      <c r="A824" s="223"/>
      <c r="B824" s="219"/>
      <c r="C824" s="219"/>
      <c r="D824" s="219"/>
      <c r="E824" s="220"/>
      <c r="F824" s="220"/>
      <c r="G824" s="221"/>
      <c r="H824" s="221"/>
      <c r="I824" s="221"/>
      <c r="J824" s="221"/>
      <c r="K824" s="221"/>
      <c r="L824" s="220"/>
      <c r="M824" s="222"/>
    </row>
    <row r="825" spans="1:13" ht="12" customHeight="1">
      <c r="A825" s="223"/>
      <c r="B825" s="219"/>
      <c r="C825" s="219"/>
      <c r="D825" s="219"/>
      <c r="E825" s="220"/>
      <c r="F825" s="220"/>
      <c r="G825" s="221"/>
      <c r="H825" s="221"/>
      <c r="I825" s="221"/>
      <c r="J825" s="221"/>
      <c r="K825" s="221"/>
      <c r="L825" s="220"/>
      <c r="M825" s="222"/>
    </row>
    <row r="826" spans="1:13" ht="12" customHeight="1">
      <c r="A826" s="223"/>
      <c r="B826" s="219"/>
      <c r="C826" s="219"/>
      <c r="D826" s="219"/>
      <c r="E826" s="220"/>
      <c r="F826" s="220"/>
      <c r="G826" s="221"/>
      <c r="H826" s="221"/>
      <c r="I826" s="221"/>
      <c r="J826" s="221"/>
      <c r="K826" s="221"/>
      <c r="L826" s="220"/>
      <c r="M826" s="222"/>
    </row>
    <row r="827" spans="1:13" ht="12" customHeight="1">
      <c r="A827" s="223"/>
      <c r="B827" s="219"/>
      <c r="C827" s="219"/>
      <c r="D827" s="219"/>
      <c r="E827" s="220"/>
      <c r="F827" s="220"/>
      <c r="G827" s="221"/>
      <c r="H827" s="221"/>
      <c r="I827" s="221"/>
      <c r="J827" s="221"/>
      <c r="K827" s="221"/>
      <c r="L827" s="220"/>
      <c r="M827" s="222"/>
    </row>
    <row r="828" spans="1:13" ht="12" customHeight="1">
      <c r="A828" s="223"/>
      <c r="B828" s="219"/>
      <c r="C828" s="219"/>
      <c r="D828" s="219"/>
      <c r="E828" s="220"/>
      <c r="F828" s="220"/>
      <c r="G828" s="221"/>
      <c r="H828" s="221"/>
      <c r="I828" s="221"/>
      <c r="J828" s="221"/>
      <c r="K828" s="221"/>
      <c r="L828" s="220"/>
      <c r="M828" s="222"/>
    </row>
    <row r="829" spans="1:13" ht="12" customHeight="1">
      <c r="A829" s="223"/>
      <c r="B829" s="219"/>
      <c r="C829" s="219"/>
      <c r="D829" s="219"/>
      <c r="E829" s="220"/>
      <c r="F829" s="220"/>
      <c r="G829" s="221"/>
      <c r="H829" s="221"/>
      <c r="I829" s="221"/>
      <c r="J829" s="221"/>
      <c r="K829" s="221"/>
      <c r="L829" s="220"/>
      <c r="M829" s="222"/>
    </row>
    <row r="830" spans="1:13" ht="12" customHeight="1">
      <c r="A830" s="223"/>
      <c r="B830" s="219"/>
      <c r="C830" s="219"/>
      <c r="D830" s="219"/>
      <c r="E830" s="220"/>
      <c r="F830" s="220"/>
      <c r="G830" s="221"/>
      <c r="H830" s="221"/>
      <c r="I830" s="221"/>
      <c r="J830" s="221"/>
      <c r="K830" s="221"/>
      <c r="L830" s="220"/>
      <c r="M830" s="222"/>
    </row>
    <row r="831" spans="1:13" ht="12" customHeight="1">
      <c r="A831" s="223"/>
      <c r="B831" s="219"/>
      <c r="C831" s="219"/>
      <c r="D831" s="219"/>
      <c r="E831" s="220"/>
      <c r="F831" s="220"/>
      <c r="G831" s="221"/>
      <c r="H831" s="221"/>
      <c r="I831" s="221"/>
      <c r="J831" s="221"/>
      <c r="K831" s="221"/>
      <c r="L831" s="220"/>
      <c r="M831" s="222"/>
    </row>
    <row r="832" spans="1:13" ht="12" customHeight="1">
      <c r="A832" s="223"/>
      <c r="B832" s="219"/>
      <c r="C832" s="219"/>
      <c r="D832" s="219"/>
      <c r="E832" s="220"/>
      <c r="F832" s="220"/>
      <c r="G832" s="221"/>
      <c r="H832" s="221"/>
      <c r="I832" s="221"/>
      <c r="J832" s="221"/>
      <c r="K832" s="221"/>
      <c r="L832" s="220"/>
      <c r="M832" s="222"/>
    </row>
    <row r="833" spans="1:13" ht="12" customHeight="1">
      <c r="A833" s="223"/>
      <c r="B833" s="219"/>
      <c r="C833" s="219"/>
      <c r="D833" s="219"/>
      <c r="E833" s="220"/>
      <c r="F833" s="220"/>
      <c r="G833" s="221"/>
      <c r="H833" s="221"/>
      <c r="I833" s="221"/>
      <c r="J833" s="221"/>
      <c r="K833" s="221"/>
      <c r="L833" s="220"/>
      <c r="M833" s="222"/>
    </row>
    <row r="834" spans="1:13" ht="12" customHeight="1">
      <c r="A834" s="223"/>
      <c r="B834" s="219"/>
      <c r="C834" s="219"/>
      <c r="D834" s="219"/>
      <c r="E834" s="220"/>
      <c r="F834" s="220"/>
      <c r="G834" s="221"/>
      <c r="H834" s="221"/>
      <c r="I834" s="221"/>
      <c r="J834" s="221"/>
      <c r="K834" s="221"/>
      <c r="L834" s="220"/>
      <c r="M834" s="222"/>
    </row>
    <row r="835" spans="1:13" ht="12" customHeight="1">
      <c r="A835" s="223"/>
      <c r="B835" s="219"/>
      <c r="C835" s="219"/>
      <c r="D835" s="219"/>
      <c r="E835" s="220"/>
      <c r="F835" s="220"/>
      <c r="G835" s="221"/>
      <c r="H835" s="221"/>
      <c r="I835" s="221"/>
      <c r="J835" s="221"/>
      <c r="K835" s="221"/>
      <c r="L835" s="220"/>
      <c r="M835" s="222"/>
    </row>
    <row r="836" spans="1:13" ht="12" customHeight="1">
      <c r="A836" s="223"/>
      <c r="B836" s="219"/>
      <c r="C836" s="219"/>
      <c r="D836" s="219"/>
      <c r="E836" s="220"/>
      <c r="F836" s="220"/>
      <c r="G836" s="221"/>
      <c r="H836" s="221"/>
      <c r="I836" s="221"/>
      <c r="J836" s="221"/>
      <c r="K836" s="221"/>
      <c r="L836" s="220"/>
      <c r="M836" s="222"/>
    </row>
    <row r="837" spans="1:13" ht="12" customHeight="1">
      <c r="A837" s="223"/>
      <c r="B837" s="219"/>
      <c r="C837" s="219"/>
      <c r="D837" s="219"/>
      <c r="E837" s="220"/>
      <c r="F837" s="220"/>
      <c r="G837" s="221"/>
      <c r="H837" s="221"/>
      <c r="I837" s="221"/>
      <c r="J837" s="221"/>
      <c r="K837" s="221"/>
      <c r="L837" s="220"/>
      <c r="M837" s="222"/>
    </row>
    <row r="838" spans="1:13" ht="12" customHeight="1">
      <c r="A838" s="223"/>
      <c r="B838" s="219"/>
      <c r="C838" s="219"/>
      <c r="D838" s="219"/>
      <c r="E838" s="220"/>
      <c r="F838" s="220"/>
      <c r="G838" s="221"/>
      <c r="H838" s="221"/>
      <c r="I838" s="221"/>
      <c r="J838" s="221"/>
      <c r="K838" s="221"/>
      <c r="L838" s="220"/>
      <c r="M838" s="222"/>
    </row>
    <row r="839" spans="1:13" ht="12" customHeight="1">
      <c r="A839" s="223"/>
      <c r="B839" s="219"/>
      <c r="C839" s="219"/>
      <c r="D839" s="219"/>
      <c r="E839" s="220"/>
      <c r="F839" s="220"/>
      <c r="G839" s="221"/>
      <c r="H839" s="221"/>
      <c r="I839" s="221"/>
      <c r="J839" s="221"/>
      <c r="K839" s="221"/>
      <c r="L839" s="220"/>
      <c r="M839" s="222"/>
    </row>
    <row r="840" spans="1:13" ht="12" customHeight="1">
      <c r="A840" s="223"/>
      <c r="B840" s="219"/>
      <c r="C840" s="219"/>
      <c r="D840" s="219"/>
      <c r="E840" s="220"/>
      <c r="F840" s="220"/>
      <c r="G840" s="221"/>
      <c r="H840" s="221"/>
      <c r="I840" s="221"/>
      <c r="J840" s="221"/>
      <c r="K840" s="221"/>
      <c r="L840" s="220"/>
      <c r="M840" s="222"/>
    </row>
    <row r="841" spans="1:13" ht="12" customHeight="1">
      <c r="A841" s="223"/>
      <c r="B841" s="219"/>
      <c r="C841" s="219"/>
      <c r="D841" s="219"/>
      <c r="E841" s="220"/>
      <c r="F841" s="220"/>
      <c r="G841" s="221"/>
      <c r="H841" s="221"/>
      <c r="I841" s="221"/>
      <c r="J841" s="221"/>
      <c r="K841" s="221"/>
      <c r="L841" s="220"/>
      <c r="M841" s="222"/>
    </row>
    <row r="842" spans="1:13" ht="12" customHeight="1">
      <c r="A842" s="223"/>
      <c r="B842" s="219"/>
      <c r="C842" s="219"/>
      <c r="D842" s="219"/>
      <c r="E842" s="220"/>
      <c r="F842" s="220"/>
      <c r="G842" s="221"/>
      <c r="H842" s="221"/>
      <c r="I842" s="221"/>
      <c r="J842" s="221"/>
      <c r="K842" s="221"/>
      <c r="L842" s="220"/>
      <c r="M842" s="222"/>
    </row>
    <row r="843" spans="1:13" ht="12" customHeight="1">
      <c r="A843" s="223"/>
      <c r="B843" s="219"/>
      <c r="C843" s="219"/>
      <c r="D843" s="219"/>
      <c r="E843" s="220"/>
      <c r="F843" s="220"/>
      <c r="G843" s="221"/>
      <c r="H843" s="221"/>
      <c r="I843" s="221"/>
      <c r="J843" s="221"/>
      <c r="K843" s="221"/>
      <c r="L843" s="220"/>
      <c r="M843" s="222"/>
    </row>
    <row r="844" spans="1:13" ht="12" customHeight="1">
      <c r="A844" s="223"/>
      <c r="B844" s="219"/>
      <c r="C844" s="219"/>
      <c r="D844" s="219"/>
      <c r="E844" s="220"/>
      <c r="F844" s="220"/>
      <c r="G844" s="221"/>
      <c r="H844" s="221"/>
      <c r="I844" s="221"/>
      <c r="J844" s="221"/>
      <c r="K844" s="221"/>
      <c r="L844" s="220"/>
      <c r="M844" s="222"/>
    </row>
    <row r="845" spans="1:13" ht="12" customHeight="1">
      <c r="A845" s="223"/>
      <c r="B845" s="219"/>
      <c r="C845" s="219"/>
      <c r="D845" s="219"/>
      <c r="E845" s="220"/>
      <c r="F845" s="220"/>
      <c r="G845" s="221"/>
      <c r="H845" s="221"/>
      <c r="I845" s="221"/>
      <c r="J845" s="221"/>
      <c r="K845" s="221"/>
      <c r="L845" s="220"/>
      <c r="M845" s="222"/>
    </row>
    <row r="846" spans="1:13" ht="12" customHeight="1">
      <c r="A846" s="223"/>
      <c r="B846" s="219"/>
      <c r="C846" s="219"/>
      <c r="D846" s="219"/>
      <c r="E846" s="220"/>
      <c r="F846" s="220"/>
      <c r="G846" s="221"/>
      <c r="H846" s="221"/>
      <c r="I846" s="221"/>
      <c r="J846" s="221"/>
      <c r="K846" s="221"/>
      <c r="L846" s="220"/>
      <c r="M846" s="222"/>
    </row>
    <row r="847" spans="1:13" ht="12" customHeight="1">
      <c r="A847" s="223"/>
      <c r="B847" s="219"/>
      <c r="C847" s="219"/>
      <c r="D847" s="219"/>
      <c r="E847" s="220"/>
      <c r="F847" s="220"/>
      <c r="G847" s="221"/>
      <c r="H847" s="221"/>
      <c r="I847" s="221"/>
      <c r="J847" s="221"/>
      <c r="K847" s="221"/>
      <c r="L847" s="220"/>
      <c r="M847" s="222"/>
    </row>
    <row r="848" spans="1:13" ht="12" customHeight="1">
      <c r="A848" s="223"/>
      <c r="B848" s="219"/>
      <c r="C848" s="219"/>
      <c r="D848" s="219"/>
      <c r="E848" s="220"/>
      <c r="F848" s="220"/>
      <c r="G848" s="221"/>
      <c r="H848" s="221"/>
      <c r="I848" s="221"/>
      <c r="J848" s="221"/>
      <c r="K848" s="221"/>
      <c r="L848" s="220"/>
      <c r="M848" s="222"/>
    </row>
    <row r="849" spans="1:13" ht="12" customHeight="1">
      <c r="A849" s="223"/>
      <c r="B849" s="219"/>
      <c r="C849" s="219"/>
      <c r="D849" s="219"/>
      <c r="E849" s="220"/>
      <c r="F849" s="220"/>
      <c r="G849" s="221"/>
      <c r="H849" s="221"/>
      <c r="I849" s="221"/>
      <c r="J849" s="221"/>
      <c r="K849" s="221"/>
      <c r="L849" s="220"/>
      <c r="M849" s="222"/>
    </row>
    <row r="850" spans="1:13" ht="12" customHeight="1">
      <c r="A850" s="223"/>
      <c r="B850" s="219"/>
      <c r="C850" s="219"/>
      <c r="D850" s="219"/>
      <c r="E850" s="220"/>
      <c r="F850" s="220"/>
      <c r="G850" s="221"/>
      <c r="H850" s="221"/>
      <c r="I850" s="221"/>
      <c r="J850" s="221"/>
      <c r="K850" s="221"/>
      <c r="L850" s="220"/>
      <c r="M850" s="222"/>
    </row>
    <row r="851" spans="1:13" ht="12" customHeight="1">
      <c r="A851" s="223"/>
      <c r="B851" s="219"/>
      <c r="C851" s="219"/>
      <c r="D851" s="219"/>
      <c r="E851" s="220"/>
      <c r="F851" s="220"/>
      <c r="G851" s="221"/>
      <c r="H851" s="221"/>
      <c r="I851" s="221"/>
      <c r="J851" s="221"/>
      <c r="K851" s="221"/>
      <c r="L851" s="220"/>
      <c r="M851" s="222"/>
    </row>
    <row r="852" spans="1:13" ht="12" customHeight="1">
      <c r="A852" s="223"/>
      <c r="B852" s="219"/>
      <c r="C852" s="219"/>
      <c r="D852" s="219"/>
      <c r="E852" s="220"/>
      <c r="F852" s="220"/>
      <c r="G852" s="221"/>
      <c r="H852" s="221"/>
      <c r="I852" s="221"/>
      <c r="J852" s="221"/>
      <c r="K852" s="221"/>
      <c r="L852" s="220"/>
      <c r="M852" s="222"/>
    </row>
    <row r="853" spans="1:13" ht="12" customHeight="1">
      <c r="A853" s="223"/>
      <c r="B853" s="219"/>
      <c r="C853" s="219"/>
      <c r="D853" s="219"/>
      <c r="E853" s="220"/>
      <c r="F853" s="220"/>
      <c r="G853" s="221"/>
      <c r="H853" s="221"/>
      <c r="I853" s="221"/>
      <c r="J853" s="221"/>
      <c r="K853" s="221"/>
      <c r="L853" s="220"/>
      <c r="M853" s="222"/>
    </row>
    <row r="854" spans="1:13" ht="12" customHeight="1">
      <c r="A854" s="223"/>
      <c r="B854" s="219"/>
      <c r="C854" s="219"/>
      <c r="D854" s="219"/>
      <c r="E854" s="220"/>
      <c r="F854" s="220"/>
      <c r="G854" s="221"/>
      <c r="H854" s="221"/>
      <c r="I854" s="221"/>
      <c r="J854" s="221"/>
      <c r="K854" s="221"/>
      <c r="L854" s="220"/>
      <c r="M854" s="222"/>
    </row>
    <row r="855" spans="1:13" ht="12" customHeight="1">
      <c r="A855" s="223"/>
      <c r="B855" s="219"/>
      <c r="C855" s="219"/>
      <c r="D855" s="219"/>
      <c r="E855" s="220"/>
      <c r="F855" s="220"/>
      <c r="G855" s="221"/>
      <c r="H855" s="221"/>
      <c r="I855" s="221"/>
      <c r="J855" s="221"/>
      <c r="K855" s="221"/>
      <c r="L855" s="220"/>
      <c r="M855" s="222"/>
    </row>
    <row r="856" spans="1:13" ht="12" customHeight="1">
      <c r="A856" s="223"/>
      <c r="B856" s="219"/>
      <c r="C856" s="219"/>
      <c r="D856" s="219"/>
      <c r="E856" s="220"/>
      <c r="F856" s="220"/>
      <c r="G856" s="221"/>
      <c r="H856" s="221"/>
      <c r="I856" s="221"/>
      <c r="J856" s="221"/>
      <c r="K856" s="221"/>
      <c r="L856" s="220"/>
      <c r="M856" s="222"/>
    </row>
    <row r="857" spans="1:13" ht="12" customHeight="1">
      <c r="A857" s="223"/>
      <c r="B857" s="219"/>
      <c r="C857" s="219"/>
      <c r="D857" s="219"/>
      <c r="E857" s="220"/>
      <c r="F857" s="220"/>
      <c r="G857" s="221"/>
      <c r="H857" s="221"/>
      <c r="I857" s="221"/>
      <c r="J857" s="221"/>
      <c r="K857" s="221"/>
      <c r="L857" s="220"/>
      <c r="M857" s="222"/>
    </row>
    <row r="858" spans="1:13" ht="12" customHeight="1">
      <c r="A858" s="223"/>
      <c r="B858" s="219"/>
      <c r="C858" s="219"/>
      <c r="D858" s="219"/>
      <c r="E858" s="220"/>
      <c r="F858" s="220"/>
      <c r="G858" s="221"/>
      <c r="H858" s="221"/>
      <c r="I858" s="221"/>
      <c r="J858" s="221"/>
      <c r="K858" s="221"/>
      <c r="L858" s="220"/>
      <c r="M858" s="222"/>
    </row>
    <row r="859" spans="1:13" ht="12" customHeight="1">
      <c r="A859" s="223"/>
      <c r="B859" s="219"/>
      <c r="C859" s="219"/>
      <c r="D859" s="219"/>
      <c r="E859" s="220"/>
      <c r="F859" s="220"/>
      <c r="G859" s="221"/>
      <c r="H859" s="221"/>
      <c r="I859" s="221"/>
      <c r="J859" s="221"/>
      <c r="K859" s="221"/>
      <c r="L859" s="220"/>
      <c r="M859" s="222"/>
    </row>
    <row r="860" spans="1:13" ht="12" customHeight="1">
      <c r="A860" s="223"/>
      <c r="B860" s="219"/>
      <c r="C860" s="219"/>
      <c r="D860" s="219"/>
      <c r="E860" s="220"/>
      <c r="F860" s="220"/>
      <c r="G860" s="221"/>
      <c r="H860" s="221"/>
      <c r="I860" s="221"/>
      <c r="J860" s="221"/>
      <c r="K860" s="221"/>
      <c r="L860" s="220"/>
      <c r="M860" s="222"/>
    </row>
    <row r="861" spans="1:13" ht="12" customHeight="1">
      <c r="A861" s="223"/>
      <c r="B861" s="219"/>
      <c r="C861" s="219"/>
      <c r="D861" s="219"/>
      <c r="E861" s="220"/>
      <c r="F861" s="220"/>
      <c r="G861" s="221"/>
      <c r="H861" s="221"/>
      <c r="I861" s="221"/>
      <c r="J861" s="221"/>
      <c r="K861" s="221"/>
      <c r="L861" s="220"/>
      <c r="M861" s="222"/>
    </row>
    <row r="862" spans="1:13" ht="12" customHeight="1">
      <c r="A862" s="223"/>
      <c r="B862" s="219"/>
      <c r="C862" s="219"/>
      <c r="D862" s="219"/>
      <c r="E862" s="220"/>
      <c r="F862" s="220"/>
      <c r="G862" s="221"/>
      <c r="H862" s="221"/>
      <c r="I862" s="221"/>
      <c r="J862" s="221"/>
      <c r="K862" s="221"/>
      <c r="L862" s="220"/>
      <c r="M862" s="222"/>
    </row>
    <row r="863" spans="1:13" ht="12" customHeight="1">
      <c r="A863" s="223"/>
      <c r="B863" s="219"/>
      <c r="C863" s="219"/>
      <c r="D863" s="219"/>
      <c r="E863" s="220"/>
      <c r="F863" s="220"/>
      <c r="G863" s="221"/>
      <c r="H863" s="221"/>
      <c r="I863" s="221"/>
      <c r="J863" s="221"/>
      <c r="K863" s="221"/>
      <c r="L863" s="220"/>
      <c r="M863" s="222"/>
    </row>
    <row r="864" spans="1:13" ht="12" customHeight="1">
      <c r="A864" s="223"/>
      <c r="B864" s="219"/>
      <c r="C864" s="219"/>
      <c r="D864" s="219"/>
      <c r="E864" s="220"/>
      <c r="F864" s="220"/>
      <c r="G864" s="221"/>
      <c r="H864" s="221"/>
      <c r="I864" s="221"/>
      <c r="J864" s="221"/>
      <c r="K864" s="221"/>
      <c r="L864" s="220"/>
      <c r="M864" s="222"/>
    </row>
    <row r="865" spans="1:13" ht="12" customHeight="1">
      <c r="A865" s="223"/>
      <c r="B865" s="219"/>
      <c r="C865" s="219"/>
      <c r="D865" s="219"/>
      <c r="E865" s="220"/>
      <c r="F865" s="220"/>
      <c r="G865" s="221"/>
      <c r="H865" s="221"/>
      <c r="I865" s="221"/>
      <c r="J865" s="221"/>
      <c r="K865" s="221"/>
      <c r="L865" s="220"/>
      <c r="M865" s="222"/>
    </row>
    <row r="866" spans="1:13" ht="12" customHeight="1">
      <c r="A866" s="223"/>
      <c r="B866" s="219"/>
      <c r="C866" s="219"/>
      <c r="D866" s="219"/>
      <c r="E866" s="220"/>
      <c r="F866" s="220"/>
      <c r="G866" s="221"/>
      <c r="H866" s="221"/>
      <c r="I866" s="221"/>
      <c r="J866" s="221"/>
      <c r="K866" s="221"/>
      <c r="L866" s="220"/>
      <c r="M866" s="222"/>
    </row>
    <row r="867" spans="1:13" ht="12" customHeight="1">
      <c r="A867" s="223"/>
      <c r="B867" s="219"/>
      <c r="C867" s="219"/>
      <c r="D867" s="219"/>
      <c r="E867" s="220"/>
      <c r="F867" s="220"/>
      <c r="G867" s="221"/>
      <c r="H867" s="221"/>
      <c r="I867" s="221"/>
      <c r="J867" s="221"/>
      <c r="K867" s="221"/>
      <c r="L867" s="220"/>
      <c r="M867" s="222"/>
    </row>
    <row r="868" spans="1:13" ht="12" customHeight="1">
      <c r="A868" s="223"/>
      <c r="B868" s="219"/>
      <c r="C868" s="219"/>
      <c r="D868" s="219"/>
      <c r="E868" s="220"/>
      <c r="F868" s="220"/>
      <c r="G868" s="221"/>
      <c r="H868" s="221"/>
      <c r="I868" s="221"/>
      <c r="J868" s="221"/>
      <c r="K868" s="221"/>
      <c r="L868" s="220"/>
      <c r="M868" s="222"/>
    </row>
    <row r="869" spans="1:13" ht="12" customHeight="1">
      <c r="A869" s="223"/>
      <c r="B869" s="219"/>
      <c r="C869" s="219"/>
      <c r="D869" s="219"/>
      <c r="E869" s="220"/>
      <c r="F869" s="220"/>
      <c r="G869" s="221"/>
      <c r="H869" s="221"/>
      <c r="I869" s="221"/>
      <c r="J869" s="221"/>
      <c r="K869" s="221"/>
      <c r="L869" s="220"/>
      <c r="M869" s="222"/>
    </row>
    <row r="870" spans="1:13" ht="12" customHeight="1">
      <c r="A870" s="223"/>
      <c r="B870" s="219"/>
      <c r="C870" s="219"/>
      <c r="D870" s="219"/>
      <c r="E870" s="220"/>
      <c r="F870" s="220"/>
      <c r="G870" s="221"/>
      <c r="H870" s="221"/>
      <c r="I870" s="221"/>
      <c r="J870" s="221"/>
      <c r="K870" s="221"/>
      <c r="L870" s="220"/>
      <c r="M870" s="222"/>
    </row>
    <row r="871" spans="1:13" ht="12" customHeight="1">
      <c r="A871" s="223"/>
      <c r="B871" s="219"/>
      <c r="C871" s="219"/>
      <c r="D871" s="219"/>
      <c r="E871" s="220"/>
      <c r="F871" s="220"/>
      <c r="G871" s="221"/>
      <c r="H871" s="221"/>
      <c r="I871" s="221"/>
      <c r="J871" s="221"/>
      <c r="K871" s="221"/>
      <c r="L871" s="220"/>
      <c r="M871" s="222"/>
    </row>
    <row r="872" spans="1:13" ht="12" customHeight="1">
      <c r="A872" s="223"/>
      <c r="B872" s="219"/>
      <c r="C872" s="219"/>
      <c r="D872" s="219"/>
      <c r="E872" s="220"/>
      <c r="F872" s="220"/>
      <c r="G872" s="221"/>
      <c r="H872" s="221"/>
      <c r="I872" s="221"/>
      <c r="J872" s="221"/>
      <c r="K872" s="221"/>
      <c r="L872" s="220"/>
      <c r="M872" s="222"/>
    </row>
    <row r="873" spans="1:13" ht="12" customHeight="1">
      <c r="A873" s="223"/>
      <c r="B873" s="219"/>
      <c r="C873" s="219"/>
      <c r="D873" s="219"/>
      <c r="E873" s="220"/>
      <c r="F873" s="220"/>
      <c r="G873" s="221"/>
      <c r="H873" s="221"/>
      <c r="I873" s="221"/>
      <c r="J873" s="221"/>
      <c r="K873" s="221"/>
      <c r="L873" s="220"/>
      <c r="M873" s="222"/>
    </row>
    <row r="874" spans="1:13" ht="12" customHeight="1">
      <c r="A874" s="223"/>
      <c r="B874" s="219"/>
      <c r="C874" s="219"/>
      <c r="D874" s="219"/>
      <c r="E874" s="220"/>
      <c r="F874" s="220"/>
      <c r="G874" s="221"/>
      <c r="H874" s="221"/>
      <c r="I874" s="221"/>
      <c r="J874" s="221"/>
      <c r="K874" s="221"/>
      <c r="L874" s="220"/>
      <c r="M874" s="222"/>
    </row>
    <row r="875" spans="1:13" ht="12" customHeight="1">
      <c r="A875" s="223"/>
      <c r="B875" s="219"/>
      <c r="C875" s="219"/>
      <c r="D875" s="219"/>
      <c r="E875" s="220"/>
      <c r="F875" s="220"/>
      <c r="G875" s="221"/>
      <c r="H875" s="221"/>
      <c r="I875" s="221"/>
      <c r="J875" s="221"/>
      <c r="K875" s="221"/>
      <c r="L875" s="220"/>
      <c r="M875" s="222"/>
    </row>
    <row r="876" spans="1:13" ht="12" customHeight="1">
      <c r="A876" s="223"/>
      <c r="B876" s="219"/>
      <c r="C876" s="219"/>
      <c r="D876" s="219"/>
      <c r="E876" s="220"/>
      <c r="F876" s="220"/>
      <c r="G876" s="221"/>
      <c r="H876" s="221"/>
      <c r="I876" s="221"/>
      <c r="J876" s="221"/>
      <c r="K876" s="221"/>
      <c r="L876" s="220"/>
      <c r="M876" s="222"/>
    </row>
    <row r="877" spans="1:13" ht="12" customHeight="1">
      <c r="A877" s="223"/>
      <c r="B877" s="219"/>
      <c r="C877" s="219"/>
      <c r="D877" s="219"/>
      <c r="E877" s="220"/>
      <c r="F877" s="220"/>
      <c r="G877" s="221"/>
      <c r="H877" s="221"/>
      <c r="I877" s="221"/>
      <c r="J877" s="221"/>
      <c r="K877" s="221"/>
      <c r="L877" s="220"/>
      <c r="M877" s="222"/>
    </row>
    <row r="878" spans="1:13" ht="12" customHeight="1">
      <c r="A878" s="223"/>
      <c r="B878" s="219"/>
      <c r="C878" s="219"/>
      <c r="D878" s="219"/>
      <c r="E878" s="220"/>
      <c r="F878" s="220"/>
      <c r="G878" s="221"/>
      <c r="H878" s="221"/>
      <c r="I878" s="221"/>
      <c r="J878" s="221"/>
      <c r="K878" s="221"/>
      <c r="L878" s="220"/>
      <c r="M878" s="222"/>
    </row>
    <row r="879" spans="1:13" ht="12" customHeight="1">
      <c r="A879" s="223"/>
      <c r="B879" s="219"/>
      <c r="C879" s="219"/>
      <c r="D879" s="219"/>
      <c r="E879" s="220"/>
      <c r="F879" s="220"/>
      <c r="G879" s="221"/>
      <c r="H879" s="221"/>
      <c r="I879" s="221"/>
      <c r="J879" s="221"/>
      <c r="K879" s="221"/>
      <c r="L879" s="220"/>
      <c r="M879" s="222"/>
    </row>
    <row r="880" spans="1:13" ht="12" customHeight="1">
      <c r="A880" s="223"/>
      <c r="B880" s="219"/>
      <c r="C880" s="219"/>
      <c r="D880" s="219"/>
      <c r="E880" s="220"/>
      <c r="F880" s="220"/>
      <c r="G880" s="221"/>
      <c r="H880" s="221"/>
      <c r="I880" s="221"/>
      <c r="J880" s="221"/>
      <c r="K880" s="221"/>
      <c r="L880" s="220"/>
      <c r="M880" s="222"/>
    </row>
    <row r="881" spans="1:13" ht="12" customHeight="1">
      <c r="A881" s="223"/>
      <c r="B881" s="219"/>
      <c r="C881" s="219"/>
      <c r="D881" s="219"/>
      <c r="E881" s="220"/>
      <c r="F881" s="220"/>
      <c r="G881" s="221"/>
      <c r="H881" s="221"/>
      <c r="I881" s="221"/>
      <c r="J881" s="221"/>
      <c r="K881" s="221"/>
      <c r="L881" s="220"/>
      <c r="M881" s="222"/>
    </row>
    <row r="882" spans="1:13" ht="12" customHeight="1">
      <c r="A882" s="223"/>
      <c r="B882" s="219"/>
      <c r="C882" s="219"/>
      <c r="D882" s="219"/>
      <c r="E882" s="220"/>
      <c r="F882" s="220"/>
      <c r="G882" s="221"/>
      <c r="H882" s="221"/>
      <c r="I882" s="221"/>
      <c r="J882" s="221"/>
      <c r="K882" s="221"/>
      <c r="L882" s="220"/>
      <c r="M882" s="222"/>
    </row>
    <row r="883" spans="1:13" ht="12" customHeight="1">
      <c r="A883" s="223"/>
      <c r="B883" s="219"/>
      <c r="C883" s="219"/>
      <c r="D883" s="219"/>
      <c r="E883" s="220"/>
      <c r="F883" s="220"/>
      <c r="G883" s="221"/>
      <c r="H883" s="221"/>
      <c r="I883" s="221"/>
      <c r="J883" s="221"/>
      <c r="K883" s="221"/>
      <c r="L883" s="220"/>
      <c r="M883" s="222"/>
    </row>
    <row r="884" spans="1:13" ht="12" customHeight="1">
      <c r="A884" s="223"/>
      <c r="B884" s="219"/>
      <c r="C884" s="219"/>
      <c r="D884" s="219"/>
      <c r="E884" s="220"/>
      <c r="F884" s="220"/>
      <c r="G884" s="221"/>
      <c r="H884" s="221"/>
      <c r="I884" s="221"/>
      <c r="J884" s="221"/>
      <c r="K884" s="221"/>
      <c r="L884" s="220"/>
      <c r="M884" s="222"/>
    </row>
    <row r="885" spans="1:13" ht="12" customHeight="1">
      <c r="A885" s="223"/>
      <c r="B885" s="219"/>
      <c r="C885" s="219"/>
      <c r="D885" s="219"/>
      <c r="E885" s="220"/>
      <c r="F885" s="220"/>
      <c r="G885" s="221"/>
      <c r="H885" s="221"/>
      <c r="I885" s="221"/>
      <c r="J885" s="221"/>
      <c r="K885" s="221"/>
      <c r="L885" s="220"/>
      <c r="M885" s="222"/>
    </row>
    <row r="886" spans="1:13" ht="12" customHeight="1">
      <c r="A886" s="223"/>
      <c r="B886" s="219"/>
      <c r="C886" s="219"/>
      <c r="D886" s="219"/>
      <c r="E886" s="220"/>
      <c r="F886" s="220"/>
      <c r="G886" s="221"/>
      <c r="H886" s="221"/>
      <c r="I886" s="221"/>
      <c r="J886" s="221"/>
      <c r="K886" s="221"/>
      <c r="L886" s="220"/>
      <c r="M886" s="222"/>
    </row>
    <row r="887" spans="1:13" ht="12" customHeight="1">
      <c r="A887" s="223"/>
      <c r="B887" s="219"/>
      <c r="C887" s="219"/>
      <c r="D887" s="219"/>
      <c r="E887" s="220"/>
      <c r="F887" s="220"/>
      <c r="G887" s="221"/>
      <c r="H887" s="221"/>
      <c r="I887" s="221"/>
      <c r="J887" s="221"/>
      <c r="K887" s="221"/>
      <c r="L887" s="220"/>
      <c r="M887" s="222"/>
    </row>
    <row r="888" spans="1:13" ht="12" customHeight="1">
      <c r="A888" s="223"/>
      <c r="B888" s="219"/>
      <c r="C888" s="219"/>
      <c r="D888" s="219"/>
      <c r="E888" s="220"/>
      <c r="F888" s="220"/>
      <c r="G888" s="221"/>
      <c r="H888" s="221"/>
      <c r="I888" s="221"/>
      <c r="J888" s="221"/>
      <c r="K888" s="221"/>
      <c r="L888" s="220"/>
      <c r="M888" s="222"/>
    </row>
    <row r="889" spans="1:13" ht="12" customHeight="1">
      <c r="A889" s="223"/>
      <c r="B889" s="219"/>
      <c r="C889" s="219"/>
      <c r="D889" s="219"/>
      <c r="E889" s="220"/>
      <c r="F889" s="220"/>
      <c r="G889" s="221"/>
      <c r="H889" s="221"/>
      <c r="I889" s="221"/>
      <c r="J889" s="221"/>
      <c r="K889" s="221"/>
      <c r="L889" s="220"/>
      <c r="M889" s="222"/>
    </row>
    <row r="890" spans="1:13" ht="12" customHeight="1">
      <c r="A890" s="223"/>
      <c r="B890" s="219"/>
      <c r="C890" s="219"/>
      <c r="D890" s="219"/>
      <c r="E890" s="220"/>
      <c r="F890" s="220"/>
      <c r="G890" s="221"/>
      <c r="H890" s="221"/>
      <c r="I890" s="221"/>
      <c r="J890" s="221"/>
      <c r="K890" s="221"/>
      <c r="L890" s="220"/>
      <c r="M890" s="222"/>
    </row>
    <row r="891" spans="1:13" ht="12" customHeight="1">
      <c r="A891" s="223"/>
      <c r="B891" s="219"/>
      <c r="C891" s="219"/>
      <c r="D891" s="219"/>
      <c r="E891" s="220"/>
      <c r="F891" s="220"/>
      <c r="G891" s="221"/>
      <c r="H891" s="221"/>
      <c r="I891" s="221"/>
      <c r="J891" s="221"/>
      <c r="K891" s="221"/>
      <c r="L891" s="220"/>
      <c r="M891" s="222"/>
    </row>
    <row r="892" spans="1:13" ht="12" customHeight="1">
      <c r="A892" s="223"/>
      <c r="B892" s="219"/>
      <c r="C892" s="219"/>
      <c r="D892" s="219"/>
      <c r="E892" s="220"/>
      <c r="F892" s="220"/>
      <c r="G892" s="221"/>
      <c r="H892" s="221"/>
      <c r="I892" s="221"/>
      <c r="J892" s="221"/>
      <c r="K892" s="221"/>
      <c r="L892" s="220"/>
      <c r="M892" s="222"/>
    </row>
    <row r="893" spans="1:13" ht="12" customHeight="1">
      <c r="A893" s="223"/>
      <c r="B893" s="219"/>
      <c r="C893" s="219"/>
      <c r="D893" s="219"/>
      <c r="E893" s="220"/>
      <c r="F893" s="220"/>
      <c r="G893" s="221"/>
      <c r="H893" s="221"/>
      <c r="I893" s="221"/>
      <c r="J893" s="221"/>
      <c r="K893" s="221"/>
      <c r="L893" s="220"/>
      <c r="M893" s="222"/>
    </row>
    <row r="894" spans="1:13" ht="12" customHeight="1">
      <c r="A894" s="223"/>
      <c r="B894" s="219"/>
      <c r="C894" s="219"/>
      <c r="D894" s="219"/>
      <c r="E894" s="220"/>
      <c r="F894" s="220"/>
      <c r="G894" s="221"/>
      <c r="H894" s="221"/>
      <c r="I894" s="221"/>
      <c r="J894" s="221"/>
      <c r="K894" s="221"/>
      <c r="L894" s="220"/>
      <c r="M894" s="222"/>
    </row>
    <row r="895" spans="1:13" ht="12" customHeight="1">
      <c r="A895" s="223"/>
      <c r="B895" s="219"/>
      <c r="C895" s="219"/>
      <c r="D895" s="219"/>
      <c r="E895" s="220"/>
      <c r="F895" s="220"/>
      <c r="G895" s="221"/>
      <c r="H895" s="221"/>
      <c r="I895" s="221"/>
      <c r="J895" s="221"/>
      <c r="K895" s="221"/>
      <c r="L895" s="220"/>
      <c r="M895" s="222"/>
    </row>
    <row r="896" spans="1:13" ht="12" customHeight="1">
      <c r="A896" s="223"/>
      <c r="B896" s="219"/>
      <c r="C896" s="219"/>
      <c r="D896" s="219"/>
      <c r="E896" s="220"/>
      <c r="F896" s="220"/>
      <c r="G896" s="221"/>
      <c r="H896" s="221"/>
      <c r="I896" s="221"/>
      <c r="J896" s="221"/>
      <c r="K896" s="221"/>
      <c r="L896" s="220"/>
      <c r="M896" s="222"/>
    </row>
    <row r="897" spans="1:13" ht="12" customHeight="1">
      <c r="A897" s="223"/>
      <c r="B897" s="219"/>
      <c r="C897" s="219"/>
      <c r="D897" s="219"/>
      <c r="E897" s="220"/>
      <c r="F897" s="220"/>
      <c r="G897" s="221"/>
      <c r="H897" s="221"/>
      <c r="I897" s="221"/>
      <c r="J897" s="221"/>
      <c r="K897" s="221"/>
      <c r="L897" s="220"/>
      <c r="M897" s="222"/>
    </row>
    <row r="898" spans="1:13" ht="12" customHeight="1">
      <c r="A898" s="223"/>
      <c r="B898" s="219"/>
      <c r="C898" s="219"/>
      <c r="D898" s="219"/>
      <c r="E898" s="220"/>
      <c r="F898" s="220"/>
      <c r="G898" s="221"/>
      <c r="H898" s="221"/>
      <c r="I898" s="221"/>
      <c r="J898" s="221"/>
      <c r="K898" s="221"/>
      <c r="L898" s="220"/>
      <c r="M898" s="222"/>
    </row>
    <row r="899" spans="1:13" ht="12" customHeight="1">
      <c r="A899" s="223"/>
      <c r="B899" s="219"/>
      <c r="C899" s="219"/>
      <c r="D899" s="219"/>
      <c r="E899" s="220"/>
      <c r="F899" s="220"/>
      <c r="G899" s="221"/>
      <c r="H899" s="221"/>
      <c r="I899" s="221"/>
      <c r="J899" s="221"/>
      <c r="K899" s="221"/>
      <c r="L899" s="220"/>
      <c r="M899" s="222"/>
    </row>
    <row r="900" spans="1:13" ht="12" customHeight="1">
      <c r="A900" s="223"/>
      <c r="B900" s="219"/>
      <c r="C900" s="219"/>
      <c r="D900" s="219"/>
      <c r="E900" s="220"/>
      <c r="F900" s="220"/>
      <c r="G900" s="221"/>
      <c r="H900" s="221"/>
      <c r="I900" s="221"/>
      <c r="J900" s="221"/>
      <c r="K900" s="221"/>
      <c r="L900" s="220"/>
      <c r="M900" s="222"/>
    </row>
    <row r="901" spans="1:13" ht="12" customHeight="1">
      <c r="A901" s="223"/>
      <c r="B901" s="219"/>
      <c r="C901" s="219"/>
      <c r="D901" s="219"/>
      <c r="E901" s="220"/>
      <c r="F901" s="220"/>
      <c r="G901" s="221"/>
      <c r="H901" s="221"/>
      <c r="I901" s="221"/>
      <c r="J901" s="221"/>
      <c r="K901" s="221"/>
      <c r="L901" s="220"/>
      <c r="M901" s="222"/>
    </row>
    <row r="902" spans="1:13" ht="12" customHeight="1">
      <c r="A902" s="223"/>
      <c r="B902" s="219"/>
      <c r="C902" s="219"/>
      <c r="D902" s="219"/>
      <c r="E902" s="220"/>
      <c r="F902" s="220"/>
      <c r="G902" s="221"/>
      <c r="H902" s="221"/>
      <c r="I902" s="221"/>
      <c r="J902" s="221"/>
      <c r="K902" s="221"/>
      <c r="L902" s="220"/>
      <c r="M902" s="222"/>
    </row>
    <row r="903" spans="1:13" ht="12" customHeight="1">
      <c r="A903" s="223"/>
      <c r="B903" s="219"/>
      <c r="C903" s="219"/>
      <c r="D903" s="219"/>
      <c r="E903" s="220"/>
      <c r="F903" s="220"/>
      <c r="G903" s="221"/>
      <c r="H903" s="221"/>
      <c r="I903" s="221"/>
      <c r="J903" s="221"/>
      <c r="K903" s="221"/>
      <c r="L903" s="220"/>
      <c r="M903" s="222"/>
    </row>
    <row r="904" spans="1:13" ht="12" customHeight="1">
      <c r="A904" s="223"/>
      <c r="B904" s="219"/>
      <c r="C904" s="219"/>
      <c r="D904" s="219"/>
      <c r="E904" s="220"/>
      <c r="F904" s="220"/>
      <c r="G904" s="221"/>
      <c r="H904" s="221"/>
      <c r="I904" s="221"/>
      <c r="J904" s="221"/>
      <c r="K904" s="221"/>
      <c r="L904" s="220"/>
      <c r="M904" s="222"/>
    </row>
    <row r="905" spans="1:13" ht="12" customHeight="1">
      <c r="A905" s="223"/>
      <c r="B905" s="219"/>
      <c r="C905" s="219"/>
      <c r="D905" s="219"/>
      <c r="E905" s="220"/>
      <c r="F905" s="220"/>
      <c r="G905" s="221"/>
      <c r="H905" s="221"/>
      <c r="I905" s="221"/>
      <c r="J905" s="221"/>
      <c r="K905" s="221"/>
      <c r="L905" s="220"/>
      <c r="M905" s="222"/>
    </row>
    <row r="906" spans="1:13" ht="12" customHeight="1">
      <c r="A906" s="223"/>
      <c r="B906" s="219"/>
      <c r="C906" s="219"/>
      <c r="D906" s="219"/>
      <c r="E906" s="220"/>
      <c r="F906" s="220"/>
      <c r="G906" s="221"/>
      <c r="H906" s="221"/>
      <c r="I906" s="221"/>
      <c r="J906" s="221"/>
      <c r="K906" s="221"/>
      <c r="L906" s="220"/>
      <c r="M906" s="222"/>
    </row>
    <row r="907" spans="1:13" ht="12" customHeight="1">
      <c r="A907" s="223"/>
      <c r="B907" s="219"/>
      <c r="C907" s="219"/>
      <c r="D907" s="219"/>
      <c r="E907" s="220"/>
      <c r="F907" s="220"/>
      <c r="G907" s="221"/>
      <c r="H907" s="221"/>
      <c r="I907" s="221"/>
      <c r="J907" s="221"/>
      <c r="K907" s="221"/>
      <c r="L907" s="220"/>
      <c r="M907" s="222"/>
    </row>
    <row r="908" spans="1:13" ht="12" customHeight="1">
      <c r="A908" s="223"/>
      <c r="B908" s="219"/>
      <c r="C908" s="219"/>
      <c r="D908" s="219"/>
      <c r="E908" s="220"/>
      <c r="F908" s="220"/>
      <c r="G908" s="221"/>
      <c r="H908" s="221"/>
      <c r="I908" s="221"/>
      <c r="J908" s="221"/>
      <c r="K908" s="221"/>
      <c r="L908" s="220"/>
      <c r="M908" s="222"/>
    </row>
    <row r="909" spans="1:13" ht="12" customHeight="1">
      <c r="A909" s="223"/>
      <c r="B909" s="219"/>
      <c r="C909" s="219"/>
      <c r="D909" s="219"/>
      <c r="E909" s="220"/>
      <c r="F909" s="220"/>
      <c r="G909" s="221"/>
      <c r="H909" s="221"/>
      <c r="I909" s="221"/>
      <c r="J909" s="221"/>
      <c r="K909" s="221"/>
      <c r="L909" s="220"/>
      <c r="M909" s="222"/>
    </row>
    <row r="910" spans="1:13" ht="12" customHeight="1">
      <c r="A910" s="223"/>
      <c r="B910" s="219"/>
      <c r="C910" s="219"/>
      <c r="D910" s="219"/>
      <c r="E910" s="220"/>
      <c r="F910" s="220"/>
      <c r="G910" s="221"/>
      <c r="H910" s="221"/>
      <c r="I910" s="221"/>
      <c r="J910" s="221"/>
      <c r="K910" s="221"/>
      <c r="L910" s="220"/>
      <c r="M910" s="222"/>
    </row>
    <row r="911" spans="1:13" ht="12" customHeight="1">
      <c r="A911" s="223"/>
      <c r="B911" s="219"/>
      <c r="C911" s="219"/>
      <c r="D911" s="219"/>
      <c r="E911" s="220"/>
      <c r="F911" s="220"/>
      <c r="G911" s="221"/>
      <c r="H911" s="221"/>
      <c r="I911" s="221"/>
      <c r="J911" s="221"/>
      <c r="K911" s="221"/>
      <c r="L911" s="220"/>
      <c r="M911" s="222"/>
    </row>
    <row r="912" spans="1:13" ht="12" customHeight="1">
      <c r="A912" s="223"/>
      <c r="B912" s="219"/>
      <c r="C912" s="219"/>
      <c r="D912" s="219"/>
      <c r="E912" s="220"/>
      <c r="F912" s="220"/>
      <c r="G912" s="221"/>
      <c r="H912" s="221"/>
      <c r="I912" s="221"/>
      <c r="J912" s="221"/>
      <c r="K912" s="221"/>
      <c r="L912" s="220"/>
      <c r="M912" s="222"/>
    </row>
    <row r="913" spans="1:13" ht="12" customHeight="1">
      <c r="A913" s="223"/>
      <c r="B913" s="219"/>
      <c r="C913" s="219"/>
      <c r="D913" s="219"/>
      <c r="E913" s="220"/>
      <c r="F913" s="220"/>
      <c r="G913" s="221"/>
      <c r="H913" s="221"/>
      <c r="I913" s="221"/>
      <c r="J913" s="221"/>
      <c r="K913" s="221"/>
      <c r="L913" s="220"/>
      <c r="M913" s="222"/>
    </row>
    <row r="914" spans="1:13" ht="12" customHeight="1">
      <c r="A914" s="223"/>
      <c r="B914" s="219"/>
      <c r="C914" s="219"/>
      <c r="D914" s="219"/>
      <c r="E914" s="220"/>
      <c r="F914" s="220"/>
      <c r="G914" s="221"/>
      <c r="H914" s="221"/>
      <c r="I914" s="221"/>
      <c r="J914" s="221"/>
      <c r="K914" s="221"/>
      <c r="L914" s="220"/>
      <c r="M914" s="222"/>
    </row>
    <row r="915" spans="1:13" ht="12" customHeight="1">
      <c r="A915" s="223"/>
      <c r="B915" s="219"/>
      <c r="C915" s="219"/>
      <c r="D915" s="219"/>
      <c r="E915" s="220"/>
      <c r="F915" s="220"/>
      <c r="G915" s="221"/>
      <c r="H915" s="221"/>
      <c r="I915" s="221"/>
      <c r="J915" s="221"/>
      <c r="K915" s="221"/>
      <c r="L915" s="220"/>
      <c r="M915" s="222"/>
    </row>
    <row r="916" spans="1:13" ht="12" customHeight="1">
      <c r="A916" s="223"/>
      <c r="B916" s="219"/>
      <c r="C916" s="219"/>
      <c r="D916" s="219"/>
      <c r="E916" s="220"/>
      <c r="F916" s="220"/>
      <c r="G916" s="221"/>
      <c r="H916" s="221"/>
      <c r="I916" s="221"/>
      <c r="J916" s="221"/>
      <c r="K916" s="221"/>
      <c r="L916" s="220"/>
      <c r="M916" s="222"/>
    </row>
    <row r="917" spans="1:13" ht="12" customHeight="1">
      <c r="A917" s="223"/>
      <c r="B917" s="219"/>
      <c r="C917" s="219"/>
      <c r="D917" s="219"/>
      <c r="E917" s="220"/>
      <c r="F917" s="220"/>
      <c r="G917" s="221"/>
      <c r="H917" s="221"/>
      <c r="I917" s="221"/>
      <c r="J917" s="221"/>
      <c r="K917" s="221"/>
      <c r="L917" s="220"/>
      <c r="M917" s="222"/>
    </row>
    <row r="918" spans="1:13" ht="12" customHeight="1">
      <c r="A918" s="223"/>
      <c r="B918" s="219"/>
      <c r="C918" s="219"/>
      <c r="D918" s="219"/>
      <c r="E918" s="220"/>
      <c r="F918" s="220"/>
      <c r="G918" s="221"/>
      <c r="H918" s="221"/>
      <c r="I918" s="221"/>
      <c r="J918" s="221"/>
      <c r="K918" s="221"/>
      <c r="L918" s="220"/>
      <c r="M918" s="222"/>
    </row>
    <row r="919" spans="1:13" ht="12" customHeight="1">
      <c r="A919" s="223"/>
      <c r="B919" s="219"/>
      <c r="C919" s="219"/>
      <c r="D919" s="219"/>
      <c r="E919" s="220"/>
      <c r="F919" s="220"/>
      <c r="G919" s="221"/>
      <c r="H919" s="221"/>
      <c r="I919" s="221"/>
      <c r="J919" s="221"/>
      <c r="K919" s="221"/>
      <c r="L919" s="220"/>
      <c r="M919" s="222"/>
    </row>
    <row r="920" spans="1:13" ht="12" customHeight="1">
      <c r="A920" s="223"/>
      <c r="B920" s="219"/>
      <c r="C920" s="219"/>
      <c r="D920" s="219"/>
      <c r="E920" s="220"/>
      <c r="F920" s="220"/>
      <c r="G920" s="221"/>
      <c r="H920" s="221"/>
      <c r="I920" s="221"/>
      <c r="J920" s="221"/>
      <c r="K920" s="221"/>
      <c r="L920" s="220"/>
      <c r="M920" s="222"/>
    </row>
    <row r="921" spans="1:13" ht="12" customHeight="1">
      <c r="A921" s="223"/>
      <c r="B921" s="219"/>
      <c r="C921" s="219"/>
      <c r="D921" s="219"/>
      <c r="E921" s="220"/>
      <c r="F921" s="220"/>
      <c r="G921" s="221"/>
      <c r="H921" s="221"/>
      <c r="I921" s="221"/>
      <c r="J921" s="221"/>
      <c r="K921" s="221"/>
      <c r="L921" s="220"/>
      <c r="M921" s="222"/>
    </row>
    <row r="922" spans="1:13" ht="12" customHeight="1">
      <c r="A922" s="223"/>
      <c r="B922" s="219"/>
      <c r="C922" s="219"/>
      <c r="D922" s="219"/>
      <c r="E922" s="220"/>
      <c r="F922" s="220"/>
      <c r="G922" s="221"/>
      <c r="H922" s="221"/>
      <c r="I922" s="221"/>
      <c r="J922" s="221"/>
      <c r="K922" s="221"/>
      <c r="L922" s="220"/>
      <c r="M922" s="222"/>
    </row>
    <row r="923" spans="1:13" ht="12" customHeight="1">
      <c r="A923" s="223"/>
      <c r="B923" s="219"/>
      <c r="C923" s="219"/>
      <c r="D923" s="219"/>
      <c r="E923" s="220"/>
      <c r="F923" s="220"/>
      <c r="G923" s="221"/>
      <c r="H923" s="221"/>
      <c r="I923" s="221"/>
      <c r="J923" s="221"/>
      <c r="K923" s="221"/>
      <c r="L923" s="220"/>
      <c r="M923" s="222"/>
    </row>
    <row r="924" spans="1:13" ht="12" customHeight="1">
      <c r="A924" s="223"/>
      <c r="B924" s="219"/>
      <c r="C924" s="219"/>
      <c r="D924" s="219"/>
      <c r="E924" s="220"/>
      <c r="F924" s="220"/>
      <c r="G924" s="221"/>
      <c r="H924" s="221"/>
      <c r="I924" s="221"/>
      <c r="J924" s="221"/>
      <c r="K924" s="221"/>
      <c r="L924" s="220"/>
      <c r="M924" s="222"/>
    </row>
    <row r="925" spans="1:13" ht="12" customHeight="1">
      <c r="A925" s="223"/>
      <c r="B925" s="219"/>
      <c r="C925" s="219"/>
      <c r="D925" s="219"/>
      <c r="E925" s="220"/>
      <c r="F925" s="220"/>
      <c r="G925" s="221"/>
      <c r="H925" s="221"/>
      <c r="I925" s="221"/>
      <c r="J925" s="221"/>
      <c r="K925" s="221"/>
      <c r="L925" s="220"/>
      <c r="M925" s="222"/>
    </row>
    <row r="926" spans="1:13" ht="12" customHeight="1">
      <c r="A926" s="223"/>
      <c r="B926" s="219"/>
      <c r="C926" s="219"/>
      <c r="D926" s="219"/>
      <c r="E926" s="220"/>
      <c r="F926" s="220"/>
      <c r="G926" s="221"/>
      <c r="H926" s="221"/>
      <c r="I926" s="221"/>
      <c r="J926" s="221"/>
      <c r="K926" s="221"/>
      <c r="L926" s="220"/>
      <c r="M926" s="222"/>
    </row>
    <row r="927" spans="1:13" ht="12" customHeight="1">
      <c r="A927" s="223"/>
      <c r="B927" s="219"/>
      <c r="C927" s="219"/>
      <c r="D927" s="219"/>
      <c r="E927" s="220"/>
      <c r="F927" s="220"/>
      <c r="G927" s="221"/>
      <c r="H927" s="221"/>
      <c r="I927" s="221"/>
      <c r="J927" s="221"/>
      <c r="K927" s="221"/>
      <c r="L927" s="220"/>
      <c r="M927" s="222"/>
    </row>
    <row r="928" spans="1:13" ht="12" customHeight="1">
      <c r="A928" s="223"/>
      <c r="B928" s="219"/>
      <c r="C928" s="219"/>
      <c r="D928" s="219"/>
      <c r="E928" s="220"/>
      <c r="F928" s="220"/>
      <c r="G928" s="221"/>
      <c r="H928" s="221"/>
      <c r="I928" s="221"/>
      <c r="J928" s="221"/>
      <c r="K928" s="221"/>
      <c r="L928" s="220"/>
      <c r="M928" s="222"/>
    </row>
    <row r="929" spans="1:13" ht="12" customHeight="1">
      <c r="A929" s="223"/>
      <c r="B929" s="219"/>
      <c r="C929" s="219"/>
      <c r="D929" s="219"/>
      <c r="E929" s="220"/>
      <c r="F929" s="220"/>
      <c r="G929" s="221"/>
      <c r="H929" s="221"/>
      <c r="I929" s="221"/>
      <c r="J929" s="221"/>
      <c r="K929" s="221"/>
      <c r="L929" s="220"/>
      <c r="M929" s="222"/>
    </row>
    <row r="930" spans="1:13" ht="12" customHeight="1">
      <c r="A930" s="223"/>
      <c r="B930" s="219"/>
      <c r="C930" s="219"/>
      <c r="D930" s="219"/>
      <c r="E930" s="220"/>
      <c r="F930" s="220"/>
      <c r="G930" s="221"/>
      <c r="H930" s="221"/>
      <c r="I930" s="221"/>
      <c r="J930" s="221"/>
      <c r="K930" s="221"/>
      <c r="L930" s="220"/>
      <c r="M930" s="222"/>
    </row>
    <row r="931" spans="1:13" ht="12" customHeight="1">
      <c r="A931" s="223"/>
      <c r="B931" s="219"/>
      <c r="C931" s="219"/>
      <c r="D931" s="219"/>
      <c r="E931" s="220"/>
      <c r="F931" s="220"/>
      <c r="G931" s="221"/>
      <c r="H931" s="221"/>
      <c r="I931" s="221"/>
      <c r="J931" s="221"/>
      <c r="K931" s="221"/>
      <c r="L931" s="220"/>
      <c r="M931" s="222"/>
    </row>
    <row r="932" spans="1:13" ht="12" customHeight="1">
      <c r="A932" s="223"/>
      <c r="B932" s="219"/>
      <c r="C932" s="219"/>
      <c r="D932" s="219"/>
      <c r="E932" s="220"/>
      <c r="F932" s="220"/>
      <c r="G932" s="221"/>
      <c r="H932" s="221"/>
      <c r="I932" s="221"/>
      <c r="J932" s="221"/>
      <c r="K932" s="221"/>
      <c r="L932" s="220"/>
      <c r="M932" s="222"/>
    </row>
    <row r="933" spans="1:13" ht="12" customHeight="1">
      <c r="A933" s="223"/>
      <c r="B933" s="219"/>
      <c r="C933" s="219"/>
      <c r="D933" s="219"/>
      <c r="E933" s="220"/>
      <c r="F933" s="220"/>
      <c r="G933" s="221"/>
      <c r="H933" s="221"/>
      <c r="I933" s="221"/>
      <c r="J933" s="221"/>
      <c r="K933" s="221"/>
      <c r="L933" s="220"/>
      <c r="M933" s="222"/>
    </row>
    <row r="934" spans="1:13" ht="12" customHeight="1">
      <c r="A934" s="223"/>
      <c r="B934" s="219"/>
      <c r="C934" s="219"/>
      <c r="D934" s="219"/>
      <c r="E934" s="220"/>
      <c r="F934" s="220"/>
      <c r="G934" s="221"/>
      <c r="H934" s="221"/>
      <c r="I934" s="221"/>
      <c r="J934" s="221"/>
      <c r="K934" s="221"/>
      <c r="L934" s="220"/>
      <c r="M934" s="222"/>
    </row>
    <row r="935" spans="1:13" ht="12" customHeight="1">
      <c r="A935" s="223"/>
      <c r="B935" s="219"/>
      <c r="C935" s="219"/>
      <c r="D935" s="219"/>
      <c r="E935" s="220"/>
      <c r="F935" s="220"/>
      <c r="G935" s="221"/>
      <c r="H935" s="221"/>
      <c r="I935" s="221"/>
      <c r="J935" s="221"/>
      <c r="K935" s="221"/>
      <c r="L935" s="220"/>
      <c r="M935" s="222"/>
    </row>
    <row r="936" spans="1:13" ht="12" customHeight="1">
      <c r="A936" s="223"/>
      <c r="B936" s="219"/>
      <c r="C936" s="219"/>
      <c r="D936" s="219"/>
      <c r="E936" s="220"/>
      <c r="F936" s="220"/>
      <c r="G936" s="221"/>
      <c r="H936" s="221"/>
      <c r="I936" s="221"/>
      <c r="J936" s="221"/>
      <c r="K936" s="221"/>
      <c r="L936" s="220"/>
      <c r="M936" s="222"/>
    </row>
    <row r="937" spans="1:13" ht="12" customHeight="1">
      <c r="A937" s="223"/>
      <c r="B937" s="219"/>
      <c r="C937" s="219"/>
      <c r="D937" s="219"/>
      <c r="E937" s="220"/>
      <c r="F937" s="220"/>
      <c r="G937" s="221"/>
      <c r="H937" s="221"/>
      <c r="I937" s="221"/>
      <c r="J937" s="221"/>
      <c r="K937" s="221"/>
      <c r="L937" s="220"/>
      <c r="M937" s="222"/>
    </row>
    <row r="938" spans="1:13" ht="12" customHeight="1">
      <c r="A938" s="223"/>
      <c r="B938" s="219"/>
      <c r="C938" s="219"/>
      <c r="D938" s="219"/>
      <c r="E938" s="220"/>
      <c r="F938" s="220"/>
      <c r="G938" s="221"/>
      <c r="H938" s="221"/>
      <c r="I938" s="221"/>
      <c r="J938" s="221"/>
      <c r="K938" s="221"/>
      <c r="L938" s="220"/>
      <c r="M938" s="222"/>
    </row>
    <row r="939" spans="1:13" ht="12" customHeight="1">
      <c r="A939" s="223"/>
      <c r="B939" s="219"/>
      <c r="C939" s="219"/>
      <c r="D939" s="219"/>
      <c r="E939" s="220"/>
      <c r="F939" s="220"/>
      <c r="G939" s="221"/>
      <c r="H939" s="221"/>
      <c r="I939" s="221"/>
      <c r="J939" s="221"/>
      <c r="K939" s="221"/>
      <c r="L939" s="220"/>
      <c r="M939" s="222"/>
    </row>
    <row r="940" spans="1:13" ht="12" customHeight="1">
      <c r="A940" s="223"/>
      <c r="B940" s="219"/>
      <c r="C940" s="219"/>
      <c r="D940" s="219"/>
      <c r="E940" s="220"/>
      <c r="F940" s="220"/>
      <c r="G940" s="221"/>
      <c r="H940" s="221"/>
      <c r="I940" s="221"/>
      <c r="J940" s="221"/>
      <c r="K940" s="221"/>
      <c r="L940" s="220"/>
      <c r="M940" s="222"/>
    </row>
    <row r="941" spans="1:13" ht="12" customHeight="1">
      <c r="A941" s="223"/>
      <c r="B941" s="219"/>
      <c r="C941" s="219"/>
      <c r="D941" s="219"/>
      <c r="E941" s="220"/>
      <c r="F941" s="220"/>
      <c r="G941" s="221"/>
      <c r="H941" s="221"/>
      <c r="I941" s="221"/>
      <c r="J941" s="221"/>
      <c r="K941" s="221"/>
      <c r="L941" s="220"/>
      <c r="M941" s="222"/>
    </row>
    <row r="942" spans="1:13" ht="12" customHeight="1">
      <c r="A942" s="223"/>
      <c r="B942" s="219"/>
      <c r="C942" s="219"/>
      <c r="D942" s="219"/>
      <c r="E942" s="220"/>
      <c r="F942" s="220"/>
      <c r="G942" s="221"/>
      <c r="H942" s="221"/>
      <c r="I942" s="221"/>
      <c r="J942" s="221"/>
      <c r="K942" s="221"/>
      <c r="L942" s="220"/>
      <c r="M942" s="222"/>
    </row>
    <row r="943" spans="1:13" ht="12" customHeight="1">
      <c r="A943" s="223"/>
      <c r="B943" s="219"/>
      <c r="C943" s="219"/>
      <c r="D943" s="219"/>
      <c r="E943" s="220"/>
      <c r="F943" s="220"/>
      <c r="G943" s="221"/>
      <c r="H943" s="221"/>
      <c r="I943" s="221"/>
      <c r="J943" s="221"/>
      <c r="K943" s="221"/>
      <c r="L943" s="220"/>
      <c r="M943" s="222"/>
    </row>
    <row r="944" spans="1:13" ht="12" customHeight="1">
      <c r="A944" s="223"/>
      <c r="B944" s="219"/>
      <c r="C944" s="219"/>
      <c r="D944" s="219"/>
      <c r="E944" s="220"/>
      <c r="F944" s="220"/>
      <c r="G944" s="221"/>
      <c r="H944" s="221"/>
      <c r="I944" s="221"/>
      <c r="J944" s="221"/>
      <c r="K944" s="221"/>
      <c r="L944" s="220"/>
      <c r="M944" s="222"/>
    </row>
    <row r="945" spans="1:13" ht="12" customHeight="1">
      <c r="A945" s="223"/>
      <c r="B945" s="219"/>
      <c r="C945" s="219"/>
      <c r="D945" s="219"/>
      <c r="E945" s="220"/>
      <c r="F945" s="220"/>
      <c r="G945" s="221"/>
      <c r="H945" s="221"/>
      <c r="I945" s="221"/>
      <c r="J945" s="221"/>
      <c r="K945" s="221"/>
      <c r="L945" s="220"/>
      <c r="M945" s="222"/>
    </row>
    <row r="946" spans="1:13" ht="12" customHeight="1">
      <c r="A946" s="223"/>
      <c r="B946" s="219"/>
      <c r="C946" s="219"/>
      <c r="D946" s="219"/>
      <c r="E946" s="220"/>
      <c r="F946" s="220"/>
      <c r="G946" s="221"/>
      <c r="H946" s="221"/>
      <c r="I946" s="221"/>
      <c r="J946" s="221"/>
      <c r="K946" s="221"/>
      <c r="L946" s="220"/>
      <c r="M946" s="222"/>
    </row>
    <row r="947" spans="1:13" ht="12" customHeight="1">
      <c r="A947" s="223"/>
      <c r="B947" s="219"/>
      <c r="C947" s="219"/>
      <c r="D947" s="219"/>
      <c r="E947" s="220"/>
      <c r="F947" s="220"/>
      <c r="G947" s="221"/>
      <c r="H947" s="221"/>
      <c r="I947" s="221"/>
      <c r="J947" s="221"/>
      <c r="K947" s="221"/>
      <c r="L947" s="220"/>
      <c r="M947" s="222"/>
    </row>
    <row r="948" spans="1:13" ht="12" customHeight="1">
      <c r="A948" s="223"/>
      <c r="B948" s="219"/>
      <c r="C948" s="219"/>
      <c r="D948" s="219"/>
      <c r="E948" s="220"/>
      <c r="F948" s="220"/>
      <c r="G948" s="221"/>
      <c r="H948" s="221"/>
      <c r="I948" s="221"/>
      <c r="J948" s="221"/>
      <c r="K948" s="221"/>
      <c r="L948" s="220"/>
      <c r="M948" s="222"/>
    </row>
    <row r="949" spans="1:13" ht="12" customHeight="1">
      <c r="A949" s="223"/>
      <c r="B949" s="219"/>
      <c r="C949" s="219"/>
      <c r="D949" s="219"/>
      <c r="E949" s="220"/>
      <c r="F949" s="220"/>
      <c r="G949" s="221"/>
      <c r="H949" s="221"/>
      <c r="I949" s="221"/>
      <c r="J949" s="221"/>
      <c r="K949" s="221"/>
      <c r="L949" s="220"/>
      <c r="M949" s="222"/>
    </row>
    <row r="950" spans="1:13" ht="12" customHeight="1">
      <c r="A950" s="223"/>
      <c r="B950" s="219"/>
      <c r="C950" s="219"/>
      <c r="D950" s="219"/>
      <c r="E950" s="220"/>
      <c r="F950" s="220"/>
      <c r="G950" s="221"/>
      <c r="H950" s="221"/>
      <c r="I950" s="221"/>
      <c r="J950" s="221"/>
      <c r="K950" s="221"/>
      <c r="L950" s="220"/>
      <c r="M950" s="222"/>
    </row>
    <row r="951" spans="1:13" ht="12" customHeight="1">
      <c r="A951" s="223"/>
      <c r="B951" s="219"/>
      <c r="C951" s="219"/>
      <c r="D951" s="219"/>
      <c r="E951" s="220"/>
      <c r="F951" s="220"/>
      <c r="G951" s="221"/>
      <c r="H951" s="221"/>
      <c r="I951" s="221"/>
      <c r="J951" s="221"/>
      <c r="K951" s="221"/>
      <c r="L951" s="220"/>
      <c r="M951" s="222"/>
    </row>
    <row r="952" spans="1:13" ht="12" customHeight="1">
      <c r="A952" s="223"/>
      <c r="B952" s="219"/>
      <c r="C952" s="219"/>
      <c r="D952" s="219"/>
      <c r="E952" s="220"/>
      <c r="F952" s="220"/>
      <c r="G952" s="221"/>
      <c r="H952" s="221"/>
      <c r="I952" s="221"/>
      <c r="J952" s="221"/>
      <c r="K952" s="221"/>
      <c r="L952" s="220"/>
      <c r="M952" s="222"/>
    </row>
    <row r="953" spans="1:13" ht="12" customHeight="1">
      <c r="A953" s="223"/>
      <c r="B953" s="219"/>
      <c r="C953" s="219"/>
      <c r="D953" s="219"/>
      <c r="E953" s="220"/>
      <c r="F953" s="220"/>
      <c r="G953" s="221"/>
      <c r="H953" s="221"/>
      <c r="I953" s="221"/>
      <c r="J953" s="221"/>
      <c r="K953" s="221"/>
      <c r="L953" s="220"/>
      <c r="M953" s="222"/>
    </row>
    <row r="954" spans="1:13" ht="12" customHeight="1">
      <c r="A954" s="223"/>
      <c r="B954" s="219"/>
      <c r="C954" s="219"/>
      <c r="D954" s="219"/>
      <c r="E954" s="220"/>
      <c r="F954" s="220"/>
      <c r="G954" s="221"/>
      <c r="H954" s="221"/>
      <c r="I954" s="221"/>
      <c r="J954" s="221"/>
      <c r="K954" s="221"/>
      <c r="L954" s="220"/>
      <c r="M954" s="222"/>
    </row>
    <row r="955" spans="1:13" ht="12" customHeight="1">
      <c r="A955" s="223"/>
      <c r="B955" s="219"/>
      <c r="C955" s="219"/>
      <c r="D955" s="219"/>
      <c r="E955" s="220"/>
      <c r="F955" s="220"/>
      <c r="G955" s="221"/>
      <c r="H955" s="221"/>
      <c r="I955" s="221"/>
      <c r="J955" s="221"/>
      <c r="K955" s="221"/>
      <c r="L955" s="220"/>
      <c r="M955" s="222"/>
    </row>
    <row r="956" spans="1:13" ht="12" customHeight="1">
      <c r="A956" s="223"/>
      <c r="B956" s="219"/>
      <c r="C956" s="219"/>
      <c r="D956" s="219"/>
      <c r="E956" s="220"/>
      <c r="F956" s="220"/>
      <c r="G956" s="221"/>
      <c r="H956" s="221"/>
      <c r="I956" s="221"/>
      <c r="J956" s="221"/>
      <c r="K956" s="221"/>
      <c r="L956" s="220"/>
      <c r="M956" s="222"/>
    </row>
    <row r="957" spans="1:13" ht="12" customHeight="1">
      <c r="A957" s="223"/>
      <c r="B957" s="219"/>
      <c r="C957" s="219"/>
      <c r="D957" s="219"/>
      <c r="E957" s="220"/>
      <c r="F957" s="220"/>
      <c r="G957" s="221"/>
      <c r="H957" s="221"/>
      <c r="I957" s="221"/>
      <c r="J957" s="221"/>
      <c r="K957" s="221"/>
      <c r="L957" s="220"/>
      <c r="M957" s="222"/>
    </row>
    <row r="958" spans="1:13" ht="12" customHeight="1">
      <c r="A958" s="223"/>
      <c r="B958" s="219"/>
      <c r="C958" s="219"/>
      <c r="D958" s="219"/>
      <c r="E958" s="220"/>
      <c r="F958" s="220"/>
      <c r="G958" s="221"/>
      <c r="H958" s="221"/>
      <c r="I958" s="221"/>
      <c r="J958" s="221"/>
      <c r="K958" s="221"/>
      <c r="L958" s="220"/>
      <c r="M958" s="222"/>
    </row>
    <row r="959" spans="1:13" ht="12" customHeight="1">
      <c r="A959" s="223"/>
      <c r="B959" s="219"/>
      <c r="C959" s="219"/>
      <c r="D959" s="219"/>
      <c r="E959" s="220"/>
      <c r="F959" s="220"/>
      <c r="G959" s="221"/>
      <c r="H959" s="221"/>
      <c r="I959" s="221"/>
      <c r="J959" s="221"/>
      <c r="K959" s="221"/>
      <c r="L959" s="220"/>
      <c r="M959" s="222"/>
    </row>
    <row r="960" spans="1:13" ht="12" customHeight="1">
      <c r="A960" s="223"/>
      <c r="B960" s="219"/>
      <c r="C960" s="219"/>
      <c r="D960" s="219"/>
      <c r="E960" s="220"/>
      <c r="F960" s="220"/>
      <c r="G960" s="221"/>
      <c r="H960" s="221"/>
      <c r="I960" s="221"/>
      <c r="J960" s="221"/>
      <c r="K960" s="221"/>
      <c r="L960" s="220"/>
      <c r="M960" s="222"/>
    </row>
    <row r="961" spans="1:13" ht="12" customHeight="1">
      <c r="A961" s="223"/>
      <c r="B961" s="219"/>
      <c r="C961" s="219"/>
      <c r="D961" s="219"/>
      <c r="E961" s="220"/>
      <c r="F961" s="220"/>
      <c r="G961" s="221"/>
      <c r="H961" s="221"/>
      <c r="I961" s="221"/>
      <c r="J961" s="221"/>
      <c r="K961" s="221"/>
      <c r="L961" s="220"/>
      <c r="M961" s="222"/>
    </row>
    <row r="962" spans="1:13" ht="12" customHeight="1">
      <c r="A962" s="223"/>
      <c r="B962" s="219"/>
      <c r="C962" s="219"/>
      <c r="D962" s="219"/>
      <c r="E962" s="220"/>
      <c r="F962" s="220"/>
      <c r="G962" s="221"/>
      <c r="H962" s="221"/>
      <c r="I962" s="221"/>
      <c r="J962" s="221"/>
      <c r="K962" s="221"/>
      <c r="L962" s="220"/>
      <c r="M962" s="222"/>
    </row>
    <row r="963" spans="1:13" ht="12" customHeight="1">
      <c r="A963" s="223"/>
      <c r="B963" s="219"/>
      <c r="C963" s="219"/>
      <c r="D963" s="219"/>
      <c r="E963" s="220"/>
      <c r="F963" s="220"/>
      <c r="G963" s="221"/>
      <c r="H963" s="221"/>
      <c r="I963" s="221"/>
      <c r="J963" s="221"/>
      <c r="K963" s="221"/>
      <c r="L963" s="220"/>
      <c r="M963" s="222"/>
    </row>
    <row r="964" spans="1:13" ht="12" customHeight="1">
      <c r="A964" s="223"/>
      <c r="B964" s="219"/>
      <c r="C964" s="219"/>
      <c r="D964" s="219"/>
      <c r="E964" s="220"/>
      <c r="F964" s="220"/>
      <c r="G964" s="221"/>
      <c r="H964" s="221"/>
      <c r="I964" s="221"/>
      <c r="J964" s="221"/>
      <c r="K964" s="221"/>
      <c r="L964" s="220"/>
      <c r="M964" s="222"/>
    </row>
    <row r="965" spans="1:13" ht="12" customHeight="1">
      <c r="A965" s="223"/>
      <c r="B965" s="219"/>
      <c r="C965" s="219"/>
      <c r="D965" s="219"/>
      <c r="E965" s="220"/>
      <c r="F965" s="220"/>
      <c r="G965" s="221"/>
      <c r="H965" s="221"/>
      <c r="I965" s="221"/>
      <c r="J965" s="221"/>
      <c r="K965" s="221"/>
      <c r="L965" s="220"/>
      <c r="M965" s="222"/>
    </row>
    <row r="966" spans="1:13" ht="12" customHeight="1">
      <c r="A966" s="223"/>
      <c r="B966" s="219"/>
      <c r="C966" s="219"/>
      <c r="D966" s="219"/>
      <c r="E966" s="220"/>
      <c r="F966" s="220"/>
      <c r="G966" s="221"/>
      <c r="H966" s="221"/>
      <c r="I966" s="221"/>
      <c r="J966" s="221"/>
      <c r="K966" s="221"/>
      <c r="L966" s="220"/>
      <c r="M966" s="222"/>
    </row>
    <row r="967" spans="1:13" ht="12" customHeight="1">
      <c r="A967" s="223"/>
      <c r="B967" s="219"/>
      <c r="C967" s="219"/>
      <c r="D967" s="219"/>
      <c r="E967" s="220"/>
      <c r="F967" s="220"/>
      <c r="G967" s="221"/>
      <c r="H967" s="221"/>
      <c r="I967" s="221"/>
      <c r="J967" s="221"/>
      <c r="K967" s="221"/>
      <c r="L967" s="220"/>
      <c r="M967" s="222"/>
    </row>
    <row r="968" spans="1:13" ht="12" customHeight="1">
      <c r="A968" s="223"/>
      <c r="B968" s="219"/>
      <c r="C968" s="219"/>
      <c r="D968" s="219"/>
      <c r="E968" s="220"/>
      <c r="F968" s="220"/>
      <c r="G968" s="221"/>
      <c r="H968" s="221"/>
      <c r="I968" s="221"/>
      <c r="J968" s="221"/>
      <c r="K968" s="221"/>
      <c r="L968" s="220"/>
      <c r="M968" s="222"/>
    </row>
    <row r="969" spans="1:13" ht="12" customHeight="1">
      <c r="A969" s="223"/>
      <c r="B969" s="219"/>
      <c r="C969" s="219"/>
      <c r="D969" s="219"/>
      <c r="E969" s="220"/>
      <c r="F969" s="220"/>
      <c r="G969" s="221"/>
      <c r="H969" s="221"/>
      <c r="I969" s="221"/>
      <c r="J969" s="221"/>
      <c r="K969" s="221"/>
      <c r="L969" s="220"/>
      <c r="M969" s="222"/>
    </row>
    <row r="970" spans="1:13" ht="12" customHeight="1">
      <c r="A970" s="223"/>
      <c r="B970" s="219"/>
      <c r="C970" s="219"/>
      <c r="D970" s="219"/>
      <c r="E970" s="220"/>
      <c r="F970" s="220"/>
      <c r="G970" s="221"/>
      <c r="H970" s="221"/>
      <c r="I970" s="221"/>
      <c r="J970" s="221"/>
      <c r="K970" s="221"/>
      <c r="L970" s="220"/>
      <c r="M970" s="222"/>
    </row>
    <row r="971" spans="1:13" ht="12" customHeight="1">
      <c r="A971" s="223"/>
      <c r="B971" s="219"/>
      <c r="C971" s="219"/>
      <c r="D971" s="219"/>
      <c r="E971" s="220"/>
      <c r="F971" s="220"/>
      <c r="G971" s="221"/>
      <c r="H971" s="221"/>
      <c r="I971" s="221"/>
      <c r="J971" s="221"/>
      <c r="K971" s="221"/>
      <c r="L971" s="220"/>
      <c r="M971" s="222"/>
    </row>
    <row r="972" spans="1:13" ht="12" customHeight="1">
      <c r="A972" s="223"/>
      <c r="B972" s="219"/>
      <c r="C972" s="219"/>
      <c r="D972" s="219"/>
      <c r="E972" s="220"/>
      <c r="F972" s="220"/>
      <c r="G972" s="221"/>
      <c r="H972" s="221"/>
      <c r="I972" s="221"/>
      <c r="J972" s="221"/>
      <c r="K972" s="221"/>
      <c r="L972" s="220"/>
      <c r="M972" s="222"/>
    </row>
    <row r="973" spans="1:13" ht="12" customHeight="1">
      <c r="A973" s="223"/>
      <c r="B973" s="219"/>
      <c r="C973" s="219"/>
      <c r="D973" s="219"/>
      <c r="E973" s="220"/>
      <c r="F973" s="220"/>
      <c r="G973" s="221"/>
      <c r="H973" s="221"/>
      <c r="I973" s="221"/>
      <c r="J973" s="221"/>
      <c r="K973" s="221"/>
      <c r="L973" s="220"/>
      <c r="M973" s="222"/>
    </row>
    <row r="974" spans="1:13" ht="12" customHeight="1">
      <c r="A974" s="223"/>
      <c r="B974" s="219"/>
      <c r="C974" s="219"/>
      <c r="D974" s="219"/>
      <c r="E974" s="220"/>
      <c r="F974" s="220"/>
      <c r="G974" s="221"/>
      <c r="H974" s="221"/>
      <c r="I974" s="221"/>
      <c r="J974" s="221"/>
      <c r="K974" s="221"/>
      <c r="L974" s="220"/>
      <c r="M974" s="222"/>
    </row>
    <row r="975" spans="1:13" ht="12" customHeight="1">
      <c r="A975" s="223"/>
      <c r="B975" s="219"/>
      <c r="C975" s="219"/>
      <c r="D975" s="219"/>
      <c r="E975" s="220"/>
      <c r="F975" s="220"/>
      <c r="G975" s="221"/>
      <c r="H975" s="221"/>
      <c r="I975" s="221"/>
      <c r="J975" s="221"/>
      <c r="K975" s="221"/>
      <c r="L975" s="220"/>
      <c r="M975" s="222"/>
    </row>
    <row r="976" spans="1:13" ht="12" customHeight="1">
      <c r="A976" s="223"/>
      <c r="B976" s="219"/>
      <c r="C976" s="219"/>
      <c r="D976" s="219"/>
      <c r="E976" s="220"/>
      <c r="F976" s="220"/>
      <c r="G976" s="221"/>
      <c r="H976" s="221"/>
      <c r="I976" s="221"/>
      <c r="J976" s="221"/>
      <c r="K976" s="221"/>
      <c r="L976" s="220"/>
      <c r="M976" s="222"/>
    </row>
    <row r="977" spans="1:13" ht="12" customHeight="1">
      <c r="A977" s="223"/>
      <c r="B977" s="219"/>
      <c r="C977" s="219"/>
      <c r="D977" s="219"/>
      <c r="E977" s="220"/>
      <c r="F977" s="220"/>
      <c r="G977" s="221"/>
      <c r="H977" s="221"/>
      <c r="I977" s="221"/>
      <c r="J977" s="221"/>
      <c r="K977" s="221"/>
      <c r="L977" s="220"/>
      <c r="M977" s="222"/>
    </row>
    <row r="978" spans="1:13" ht="12" customHeight="1">
      <c r="A978" s="223"/>
      <c r="B978" s="219"/>
      <c r="C978" s="219"/>
      <c r="D978" s="219"/>
      <c r="E978" s="220"/>
      <c r="F978" s="220"/>
      <c r="G978" s="221"/>
      <c r="H978" s="221"/>
      <c r="I978" s="221"/>
      <c r="J978" s="221"/>
      <c r="K978" s="221"/>
      <c r="L978" s="220"/>
      <c r="M978" s="222"/>
    </row>
    <row r="979" spans="1:13" ht="12" customHeight="1">
      <c r="A979" s="223"/>
      <c r="B979" s="219"/>
      <c r="C979" s="219"/>
      <c r="D979" s="219"/>
      <c r="E979" s="220"/>
      <c r="F979" s="220"/>
      <c r="G979" s="221"/>
      <c r="H979" s="221"/>
      <c r="I979" s="221"/>
      <c r="J979" s="221"/>
      <c r="K979" s="221"/>
      <c r="L979" s="220"/>
      <c r="M979" s="222"/>
    </row>
    <row r="980" spans="1:13" ht="12" customHeight="1">
      <c r="A980" s="223"/>
      <c r="B980" s="219"/>
      <c r="C980" s="219"/>
      <c r="D980" s="219"/>
      <c r="E980" s="220"/>
      <c r="F980" s="220"/>
      <c r="G980" s="221"/>
      <c r="H980" s="221"/>
      <c r="I980" s="221"/>
      <c r="J980" s="221"/>
      <c r="K980" s="221"/>
      <c r="L980" s="220"/>
      <c r="M980" s="222"/>
    </row>
    <row r="981" spans="1:13" ht="12" customHeight="1">
      <c r="A981" s="223"/>
      <c r="B981" s="219"/>
      <c r="C981" s="219"/>
      <c r="D981" s="219"/>
      <c r="E981" s="220"/>
      <c r="F981" s="220"/>
      <c r="G981" s="221"/>
      <c r="H981" s="221"/>
      <c r="I981" s="221"/>
      <c r="J981" s="221"/>
      <c r="K981" s="221"/>
      <c r="L981" s="220"/>
      <c r="M981" s="222"/>
    </row>
    <row r="982" spans="1:13" ht="12" customHeight="1">
      <c r="A982" s="223"/>
      <c r="B982" s="219"/>
      <c r="C982" s="219"/>
      <c r="D982" s="219"/>
      <c r="E982" s="220"/>
      <c r="F982" s="220"/>
      <c r="G982" s="221"/>
      <c r="H982" s="221"/>
      <c r="I982" s="221"/>
      <c r="J982" s="221"/>
      <c r="K982" s="221"/>
      <c r="L982" s="220"/>
      <c r="M982" s="222"/>
    </row>
    <row r="983" spans="1:13" ht="12" customHeight="1">
      <c r="A983" s="223"/>
      <c r="B983" s="219"/>
      <c r="C983" s="219"/>
      <c r="D983" s="219"/>
      <c r="E983" s="220"/>
      <c r="F983" s="220"/>
      <c r="G983" s="221"/>
      <c r="H983" s="221"/>
      <c r="I983" s="221"/>
      <c r="J983" s="221"/>
      <c r="K983" s="221"/>
      <c r="L983" s="220"/>
      <c r="M983" s="222"/>
    </row>
    <row r="984" spans="1:13" ht="12" customHeight="1">
      <c r="A984" s="223"/>
      <c r="B984" s="219"/>
      <c r="C984" s="219"/>
      <c r="D984" s="219"/>
      <c r="E984" s="220"/>
      <c r="F984" s="220"/>
      <c r="G984" s="221"/>
      <c r="H984" s="221"/>
      <c r="I984" s="221"/>
      <c r="J984" s="221"/>
      <c r="K984" s="221"/>
      <c r="L984" s="220"/>
      <c r="M984" s="222"/>
    </row>
    <row r="985" spans="1:13" ht="12" customHeight="1">
      <c r="A985" s="223"/>
      <c r="B985" s="219"/>
      <c r="C985" s="219"/>
      <c r="D985" s="219"/>
      <c r="E985" s="220"/>
      <c r="F985" s="220"/>
      <c r="G985" s="221"/>
      <c r="H985" s="221"/>
      <c r="I985" s="221"/>
      <c r="J985" s="221"/>
      <c r="K985" s="221"/>
      <c r="L985" s="220"/>
      <c r="M985" s="222"/>
    </row>
    <row r="986" spans="1:13" ht="12" customHeight="1">
      <c r="A986" s="223"/>
      <c r="B986" s="219"/>
      <c r="C986" s="219"/>
      <c r="D986" s="219"/>
      <c r="E986" s="220"/>
      <c r="F986" s="220"/>
      <c r="G986" s="221"/>
      <c r="H986" s="221"/>
      <c r="I986" s="221"/>
      <c r="J986" s="221"/>
      <c r="K986" s="221"/>
      <c r="L986" s="220"/>
      <c r="M986" s="222"/>
    </row>
    <row r="987" spans="1:13" ht="12" customHeight="1">
      <c r="A987" s="223"/>
      <c r="B987" s="219"/>
      <c r="C987" s="219"/>
      <c r="D987" s="219"/>
      <c r="E987" s="220"/>
      <c r="F987" s="220"/>
      <c r="G987" s="221"/>
      <c r="H987" s="221"/>
      <c r="I987" s="221"/>
      <c r="J987" s="221"/>
      <c r="K987" s="221"/>
      <c r="L987" s="220"/>
      <c r="M987" s="222"/>
    </row>
    <row r="988" spans="1:13" ht="12" customHeight="1">
      <c r="A988" s="223"/>
      <c r="B988" s="219"/>
      <c r="C988" s="219"/>
      <c r="D988" s="219"/>
      <c r="E988" s="220"/>
      <c r="F988" s="220"/>
      <c r="G988" s="221"/>
      <c r="H988" s="221"/>
      <c r="I988" s="221"/>
      <c r="J988" s="221"/>
      <c r="K988" s="221"/>
      <c r="L988" s="220"/>
      <c r="M988" s="222"/>
    </row>
    <row r="989" spans="1:13" ht="12" customHeight="1">
      <c r="A989" s="223"/>
      <c r="B989" s="219"/>
      <c r="C989" s="219"/>
      <c r="D989" s="219"/>
      <c r="E989" s="220"/>
      <c r="F989" s="220"/>
      <c r="G989" s="221"/>
      <c r="H989" s="221"/>
      <c r="I989" s="221"/>
      <c r="J989" s="221"/>
      <c r="K989" s="221"/>
      <c r="L989" s="220"/>
      <c r="M989" s="222"/>
    </row>
    <row r="990" spans="1:13" ht="12" customHeight="1">
      <c r="A990" s="223"/>
      <c r="B990" s="219"/>
      <c r="C990" s="219"/>
      <c r="D990" s="219"/>
      <c r="E990" s="220"/>
      <c r="F990" s="220"/>
      <c r="G990" s="221"/>
      <c r="H990" s="221"/>
      <c r="I990" s="221"/>
      <c r="J990" s="221"/>
      <c r="K990" s="221"/>
      <c r="L990" s="220"/>
      <c r="M990" s="222"/>
    </row>
    <row r="991" spans="1:13" ht="12" customHeight="1">
      <c r="A991" s="223"/>
      <c r="B991" s="219"/>
      <c r="C991" s="219"/>
      <c r="D991" s="219"/>
      <c r="E991" s="220"/>
      <c r="F991" s="220"/>
      <c r="G991" s="221"/>
      <c r="H991" s="221"/>
      <c r="I991" s="221"/>
      <c r="J991" s="221"/>
      <c r="K991" s="221"/>
      <c r="L991" s="220"/>
      <c r="M991" s="222"/>
    </row>
    <row r="992" spans="1:13" ht="12" customHeight="1">
      <c r="A992" s="223"/>
      <c r="B992" s="219"/>
      <c r="C992" s="219"/>
      <c r="D992" s="219"/>
      <c r="E992" s="220"/>
      <c r="F992" s="220"/>
      <c r="G992" s="221"/>
      <c r="H992" s="221"/>
      <c r="I992" s="221"/>
      <c r="J992" s="221"/>
      <c r="K992" s="221"/>
      <c r="L992" s="220"/>
      <c r="M992" s="222"/>
    </row>
    <row r="993" spans="1:13" ht="12" customHeight="1">
      <c r="A993" s="223"/>
      <c r="B993" s="219"/>
      <c r="C993" s="219"/>
      <c r="D993" s="219"/>
      <c r="E993" s="220"/>
      <c r="F993" s="220"/>
      <c r="G993" s="221"/>
      <c r="H993" s="221"/>
      <c r="I993" s="221"/>
      <c r="J993" s="221"/>
      <c r="K993" s="221"/>
      <c r="L993" s="220"/>
      <c r="M993" s="222"/>
    </row>
    <row r="994" spans="1:13" ht="12" customHeight="1">
      <c r="A994" s="223"/>
      <c r="B994" s="219"/>
      <c r="C994" s="219"/>
      <c r="D994" s="219"/>
      <c r="E994" s="220"/>
      <c r="F994" s="220"/>
      <c r="G994" s="221"/>
      <c r="H994" s="221"/>
      <c r="I994" s="221"/>
      <c r="J994" s="221"/>
      <c r="K994" s="221"/>
      <c r="L994" s="220"/>
      <c r="M994" s="222"/>
    </row>
    <row r="995" spans="1:13" ht="12" customHeight="1">
      <c r="A995" s="223"/>
      <c r="B995" s="219"/>
      <c r="C995" s="219"/>
      <c r="D995" s="219"/>
      <c r="E995" s="220"/>
      <c r="F995" s="220"/>
      <c r="G995" s="221"/>
      <c r="H995" s="221"/>
      <c r="I995" s="221"/>
      <c r="J995" s="221"/>
      <c r="K995" s="221"/>
      <c r="L995" s="220"/>
      <c r="M995" s="222"/>
    </row>
    <row r="996" spans="1:13" ht="12" customHeight="1">
      <c r="A996" s="223"/>
      <c r="B996" s="219"/>
      <c r="C996" s="219"/>
      <c r="D996" s="219"/>
      <c r="E996" s="220"/>
      <c r="F996" s="220"/>
      <c r="G996" s="221"/>
      <c r="H996" s="221"/>
      <c r="I996" s="221"/>
      <c r="J996" s="221"/>
      <c r="K996" s="221"/>
      <c r="L996" s="220"/>
      <c r="M996" s="222"/>
    </row>
    <row r="997" spans="1:13" ht="12" customHeight="1">
      <c r="A997" s="223"/>
      <c r="B997" s="219"/>
      <c r="C997" s="219"/>
      <c r="D997" s="219"/>
      <c r="E997" s="220"/>
      <c r="F997" s="220"/>
      <c r="G997" s="221"/>
      <c r="H997" s="221"/>
      <c r="I997" s="221"/>
      <c r="J997" s="221"/>
      <c r="K997" s="221"/>
      <c r="L997" s="220"/>
      <c r="M997" s="222"/>
    </row>
    <row r="998" spans="1:13" ht="12" customHeight="1">
      <c r="A998" s="223"/>
      <c r="B998" s="219"/>
      <c r="C998" s="219"/>
      <c r="D998" s="219"/>
      <c r="E998" s="220"/>
      <c r="F998" s="220"/>
      <c r="G998" s="221"/>
      <c r="H998" s="221"/>
      <c r="I998" s="221"/>
      <c r="J998" s="221"/>
      <c r="K998" s="221"/>
      <c r="L998" s="220"/>
      <c r="M998" s="222"/>
    </row>
    <row r="999" spans="1:13" ht="12" customHeight="1">
      <c r="A999" s="223"/>
      <c r="B999" s="219"/>
      <c r="C999" s="219"/>
      <c r="D999" s="219"/>
      <c r="E999" s="220"/>
      <c r="F999" s="220"/>
      <c r="G999" s="221"/>
      <c r="H999" s="221"/>
      <c r="I999" s="221"/>
      <c r="J999" s="221"/>
      <c r="K999" s="221"/>
      <c r="L999" s="220"/>
      <c r="M999" s="222"/>
    </row>
    <row r="1000" spans="1:13" ht="12" customHeight="1">
      <c r="A1000" s="223"/>
      <c r="B1000" s="219"/>
      <c r="C1000" s="219"/>
      <c r="D1000" s="219"/>
      <c r="E1000" s="220"/>
      <c r="F1000" s="220"/>
      <c r="G1000" s="221"/>
      <c r="H1000" s="221"/>
      <c r="I1000" s="221"/>
      <c r="J1000" s="221"/>
      <c r="K1000" s="221"/>
      <c r="L1000" s="220"/>
      <c r="M1000" s="222"/>
    </row>
    <row r="1001" spans="1:13" ht="12" customHeight="1">
      <c r="A1001" s="223"/>
      <c r="B1001" s="219"/>
      <c r="C1001" s="219"/>
      <c r="D1001" s="219"/>
      <c r="E1001" s="220"/>
      <c r="F1001" s="220"/>
      <c r="G1001" s="221"/>
      <c r="H1001" s="221"/>
      <c r="I1001" s="221"/>
      <c r="J1001" s="221"/>
      <c r="K1001" s="221"/>
      <c r="L1001" s="220"/>
      <c r="M1001" s="222"/>
    </row>
    <row r="1002" spans="1:13" ht="12" customHeight="1">
      <c r="A1002" s="223"/>
      <c r="B1002" s="219"/>
      <c r="C1002" s="219"/>
      <c r="D1002" s="219"/>
      <c r="E1002" s="220"/>
      <c r="F1002" s="220"/>
      <c r="G1002" s="221"/>
      <c r="H1002" s="221"/>
      <c r="I1002" s="221"/>
      <c r="J1002" s="221"/>
      <c r="K1002" s="221"/>
      <c r="L1002" s="220"/>
      <c r="M1002" s="222"/>
    </row>
    <row r="1003" spans="1:13" ht="12" customHeight="1">
      <c r="A1003" s="223"/>
      <c r="B1003" s="219"/>
      <c r="C1003" s="219"/>
      <c r="D1003" s="219"/>
      <c r="E1003" s="220"/>
      <c r="F1003" s="220"/>
      <c r="G1003" s="221"/>
      <c r="H1003" s="221"/>
      <c r="I1003" s="221"/>
      <c r="J1003" s="221"/>
      <c r="K1003" s="221"/>
      <c r="L1003" s="220"/>
      <c r="M1003" s="222"/>
    </row>
    <row r="1004" spans="1:13" ht="12" customHeight="1">
      <c r="A1004" s="223"/>
      <c r="B1004" s="219"/>
      <c r="C1004" s="219"/>
      <c r="D1004" s="219"/>
      <c r="E1004" s="220"/>
      <c r="F1004" s="220"/>
      <c r="G1004" s="221"/>
      <c r="H1004" s="221"/>
      <c r="I1004" s="221"/>
      <c r="J1004" s="221"/>
      <c r="K1004" s="221"/>
      <c r="L1004" s="220"/>
      <c r="M1004" s="222"/>
    </row>
    <row r="1005" spans="1:13" ht="12" customHeight="1">
      <c r="A1005" s="223"/>
      <c r="B1005" s="219"/>
      <c r="C1005" s="219"/>
      <c r="D1005" s="219"/>
      <c r="E1005" s="220"/>
      <c r="F1005" s="220"/>
      <c r="G1005" s="221"/>
      <c r="H1005" s="221"/>
      <c r="I1005" s="221"/>
      <c r="J1005" s="221"/>
      <c r="K1005" s="221"/>
      <c r="L1005" s="220"/>
      <c r="M1005" s="222"/>
    </row>
    <row r="1006" spans="1:13" ht="12" customHeight="1">
      <c r="A1006" s="223"/>
      <c r="B1006" s="219"/>
      <c r="C1006" s="219"/>
      <c r="D1006" s="219"/>
      <c r="E1006" s="220"/>
      <c r="F1006" s="220"/>
      <c r="G1006" s="221"/>
      <c r="H1006" s="221"/>
      <c r="I1006" s="221"/>
      <c r="J1006" s="221"/>
      <c r="K1006" s="221"/>
      <c r="L1006" s="220"/>
      <c r="M1006" s="222"/>
    </row>
    <row r="1007" spans="1:13" ht="12" customHeight="1">
      <c r="A1007" s="223"/>
      <c r="B1007" s="219"/>
      <c r="C1007" s="219"/>
      <c r="D1007" s="219"/>
      <c r="E1007" s="220"/>
      <c r="F1007" s="220"/>
      <c r="G1007" s="221"/>
      <c r="H1007" s="221"/>
      <c r="I1007" s="221"/>
      <c r="J1007" s="221"/>
      <c r="K1007" s="221"/>
      <c r="L1007" s="220"/>
      <c r="M1007" s="222"/>
    </row>
    <row r="1008" spans="1:13" ht="12" customHeight="1">
      <c r="A1008" s="223"/>
      <c r="B1008" s="219"/>
      <c r="C1008" s="219"/>
      <c r="D1008" s="219"/>
      <c r="E1008" s="220"/>
      <c r="F1008" s="220"/>
      <c r="G1008" s="221"/>
      <c r="H1008" s="221"/>
      <c r="I1008" s="221"/>
      <c r="J1008" s="221"/>
      <c r="K1008" s="221"/>
      <c r="L1008" s="220"/>
      <c r="M1008" s="222"/>
    </row>
    <row r="1009" spans="1:13" ht="12" customHeight="1">
      <c r="A1009" s="223"/>
      <c r="B1009" s="219"/>
      <c r="C1009" s="219"/>
      <c r="D1009" s="219"/>
      <c r="E1009" s="220"/>
      <c r="F1009" s="220"/>
      <c r="G1009" s="221"/>
      <c r="H1009" s="221"/>
      <c r="I1009" s="221"/>
      <c r="J1009" s="221"/>
      <c r="K1009" s="221"/>
      <c r="L1009" s="220"/>
      <c r="M1009" s="222"/>
    </row>
    <row r="1010" spans="1:13" ht="12" customHeight="1">
      <c r="A1010" s="223"/>
      <c r="B1010" s="219"/>
      <c r="C1010" s="219"/>
      <c r="D1010" s="219"/>
      <c r="E1010" s="220"/>
      <c r="F1010" s="220"/>
      <c r="G1010" s="221"/>
      <c r="H1010" s="221"/>
      <c r="I1010" s="221"/>
      <c r="J1010" s="221"/>
      <c r="K1010" s="221"/>
      <c r="L1010" s="220"/>
      <c r="M1010" s="222"/>
    </row>
    <row r="1011" spans="1:13" ht="12" customHeight="1">
      <c r="A1011" s="223"/>
      <c r="B1011" s="219"/>
      <c r="C1011" s="219"/>
      <c r="D1011" s="219"/>
      <c r="E1011" s="220"/>
      <c r="F1011" s="220"/>
      <c r="G1011" s="221"/>
      <c r="H1011" s="221"/>
      <c r="I1011" s="221"/>
      <c r="J1011" s="221"/>
      <c r="K1011" s="221"/>
      <c r="L1011" s="220"/>
      <c r="M1011" s="222"/>
    </row>
    <row r="1012" spans="1:13" ht="12" customHeight="1">
      <c r="A1012" s="223"/>
      <c r="B1012" s="219"/>
      <c r="C1012" s="219"/>
      <c r="D1012" s="219"/>
      <c r="E1012" s="220"/>
      <c r="F1012" s="220"/>
      <c r="G1012" s="221"/>
      <c r="H1012" s="221"/>
      <c r="I1012" s="221"/>
      <c r="J1012" s="221"/>
      <c r="K1012" s="221"/>
      <c r="L1012" s="220"/>
      <c r="M1012" s="222"/>
    </row>
    <row r="1013" spans="1:13" ht="12" customHeight="1">
      <c r="A1013" s="223"/>
      <c r="B1013" s="219"/>
      <c r="C1013" s="219"/>
      <c r="D1013" s="219"/>
      <c r="E1013" s="220"/>
      <c r="F1013" s="220"/>
      <c r="G1013" s="221"/>
      <c r="H1013" s="221"/>
      <c r="I1013" s="221"/>
      <c r="J1013" s="221"/>
      <c r="K1013" s="221"/>
      <c r="L1013" s="220"/>
      <c r="M1013" s="222"/>
    </row>
    <row r="1014" spans="1:13" ht="12" customHeight="1">
      <c r="A1014" s="223"/>
      <c r="B1014" s="219"/>
      <c r="C1014" s="219"/>
      <c r="D1014" s="219"/>
      <c r="E1014" s="220"/>
      <c r="F1014" s="220"/>
      <c r="G1014" s="221"/>
      <c r="H1014" s="221"/>
      <c r="I1014" s="221"/>
      <c r="J1014" s="221"/>
      <c r="K1014" s="221"/>
      <c r="L1014" s="220"/>
      <c r="M1014" s="222"/>
    </row>
    <row r="1015" spans="1:13" ht="12" customHeight="1">
      <c r="A1015" s="223"/>
      <c r="B1015" s="219"/>
      <c r="C1015" s="219"/>
      <c r="D1015" s="219"/>
      <c r="E1015" s="220"/>
      <c r="F1015" s="220"/>
      <c r="G1015" s="221"/>
      <c r="H1015" s="221"/>
      <c r="I1015" s="221"/>
      <c r="J1015" s="221"/>
      <c r="K1015" s="221"/>
      <c r="L1015" s="220"/>
      <c r="M1015" s="222"/>
    </row>
    <row r="1016" spans="1:13" ht="12" customHeight="1">
      <c r="A1016" s="223"/>
      <c r="B1016" s="219"/>
      <c r="C1016" s="219"/>
      <c r="D1016" s="219"/>
      <c r="E1016" s="220"/>
      <c r="F1016" s="220"/>
      <c r="G1016" s="221"/>
      <c r="H1016" s="221"/>
      <c r="I1016" s="221"/>
      <c r="J1016" s="221"/>
      <c r="K1016" s="221"/>
      <c r="L1016" s="220"/>
      <c r="M1016" s="222"/>
    </row>
    <row r="1017" spans="1:13" ht="12" customHeight="1">
      <c r="A1017" s="223"/>
      <c r="B1017" s="219"/>
      <c r="C1017" s="219"/>
      <c r="D1017" s="219"/>
      <c r="E1017" s="220"/>
      <c r="F1017" s="220"/>
      <c r="G1017" s="221"/>
      <c r="H1017" s="221"/>
      <c r="I1017" s="221"/>
      <c r="J1017" s="221"/>
      <c r="K1017" s="221"/>
      <c r="L1017" s="220"/>
      <c r="M1017" s="222"/>
    </row>
    <row r="1018" spans="1:13" ht="12" customHeight="1">
      <c r="A1018" s="223"/>
      <c r="B1018" s="219"/>
      <c r="C1018" s="219"/>
      <c r="D1018" s="219"/>
      <c r="E1018" s="220"/>
      <c r="F1018" s="220"/>
      <c r="G1018" s="221"/>
      <c r="H1018" s="221"/>
      <c r="I1018" s="221"/>
      <c r="J1018" s="221"/>
      <c r="K1018" s="221"/>
      <c r="L1018" s="220"/>
      <c r="M1018" s="222"/>
    </row>
    <row r="1019" spans="1:13" ht="12" customHeight="1">
      <c r="A1019" s="223"/>
      <c r="B1019" s="219"/>
      <c r="C1019" s="219"/>
      <c r="D1019" s="219"/>
      <c r="E1019" s="220"/>
      <c r="F1019" s="220"/>
      <c r="G1019" s="221"/>
      <c r="H1019" s="221"/>
      <c r="I1019" s="221"/>
      <c r="J1019" s="221"/>
      <c r="K1019" s="221"/>
      <c r="L1019" s="220"/>
      <c r="M1019" s="222"/>
    </row>
    <row r="1020" spans="1:13" ht="12" customHeight="1">
      <c r="A1020" s="223"/>
      <c r="B1020" s="219"/>
      <c r="C1020" s="219"/>
      <c r="D1020" s="219"/>
      <c r="E1020" s="220"/>
      <c r="F1020" s="220"/>
      <c r="G1020" s="221"/>
      <c r="H1020" s="221"/>
      <c r="I1020" s="221"/>
      <c r="J1020" s="221"/>
      <c r="K1020" s="221"/>
      <c r="L1020" s="220"/>
      <c r="M1020" s="222"/>
    </row>
    <row r="1021" spans="1:13" ht="12" customHeight="1">
      <c r="A1021" s="223"/>
      <c r="B1021" s="219"/>
      <c r="C1021" s="219"/>
      <c r="D1021" s="219"/>
      <c r="E1021" s="220"/>
      <c r="F1021" s="220"/>
      <c r="G1021" s="221"/>
      <c r="H1021" s="221"/>
      <c r="I1021" s="221"/>
      <c r="J1021" s="221"/>
      <c r="K1021" s="221"/>
      <c r="L1021" s="220"/>
      <c r="M1021" s="222"/>
    </row>
    <row r="1022" spans="1:13" ht="12" customHeight="1">
      <c r="A1022" s="223"/>
      <c r="B1022" s="219"/>
      <c r="C1022" s="219"/>
      <c r="D1022" s="219"/>
      <c r="E1022" s="220"/>
      <c r="F1022" s="220"/>
      <c r="G1022" s="221"/>
      <c r="H1022" s="221"/>
      <c r="I1022" s="221"/>
      <c r="J1022" s="221"/>
      <c r="K1022" s="221"/>
      <c r="L1022" s="220"/>
      <c r="M1022" s="222"/>
    </row>
    <row r="1023" spans="1:13" ht="12" customHeight="1">
      <c r="A1023" s="223"/>
      <c r="B1023" s="219"/>
      <c r="C1023" s="219"/>
      <c r="D1023" s="219"/>
      <c r="E1023" s="220"/>
      <c r="F1023" s="220"/>
      <c r="G1023" s="221"/>
      <c r="H1023" s="221"/>
      <c r="I1023" s="221"/>
      <c r="J1023" s="221"/>
      <c r="K1023" s="221"/>
      <c r="L1023" s="220"/>
      <c r="M1023" s="222"/>
    </row>
    <row r="1024" spans="1:13" ht="12" customHeight="1">
      <c r="A1024" s="223"/>
      <c r="B1024" s="219"/>
      <c r="C1024" s="219"/>
      <c r="D1024" s="219"/>
      <c r="E1024" s="220"/>
      <c r="F1024" s="220"/>
      <c r="G1024" s="221"/>
      <c r="H1024" s="221"/>
      <c r="I1024" s="221"/>
      <c r="J1024" s="221"/>
      <c r="K1024" s="221"/>
      <c r="L1024" s="220"/>
      <c r="M1024" s="222"/>
    </row>
    <row r="1025" spans="1:13" ht="12" customHeight="1">
      <c r="A1025" s="223"/>
      <c r="B1025" s="219"/>
      <c r="C1025" s="219"/>
      <c r="D1025" s="219"/>
      <c r="E1025" s="220"/>
      <c r="F1025" s="220"/>
      <c r="G1025" s="221"/>
      <c r="H1025" s="221"/>
      <c r="I1025" s="221"/>
      <c r="J1025" s="221"/>
      <c r="K1025" s="221"/>
      <c r="L1025" s="220"/>
      <c r="M1025" s="222"/>
    </row>
    <row r="1026" spans="1:13" ht="12" customHeight="1">
      <c r="A1026" s="223"/>
      <c r="B1026" s="219"/>
      <c r="C1026" s="219"/>
      <c r="D1026" s="219"/>
      <c r="E1026" s="220"/>
      <c r="F1026" s="220"/>
      <c r="G1026" s="221"/>
      <c r="H1026" s="221"/>
      <c r="I1026" s="221"/>
      <c r="J1026" s="221"/>
      <c r="K1026" s="221"/>
      <c r="L1026" s="220"/>
      <c r="M1026" s="222"/>
    </row>
    <row r="1027" spans="1:13" ht="12" customHeight="1">
      <c r="A1027" s="223"/>
      <c r="B1027" s="219"/>
      <c r="C1027" s="219"/>
      <c r="D1027" s="219"/>
      <c r="E1027" s="220"/>
      <c r="F1027" s="220"/>
      <c r="G1027" s="221"/>
      <c r="H1027" s="221"/>
      <c r="I1027" s="221"/>
      <c r="J1027" s="221"/>
      <c r="K1027" s="221"/>
      <c r="L1027" s="220"/>
      <c r="M1027" s="222"/>
    </row>
    <row r="1028" spans="1:13" ht="12" customHeight="1">
      <c r="A1028" s="223"/>
      <c r="B1028" s="219"/>
      <c r="C1028" s="219"/>
      <c r="D1028" s="219"/>
      <c r="E1028" s="220"/>
      <c r="F1028" s="220"/>
      <c r="G1028" s="221"/>
      <c r="H1028" s="221"/>
      <c r="I1028" s="221"/>
      <c r="J1028" s="221"/>
      <c r="K1028" s="221"/>
      <c r="L1028" s="220"/>
      <c r="M1028" s="222"/>
    </row>
    <row r="1029" spans="1:13" ht="12" customHeight="1">
      <c r="A1029" s="223"/>
      <c r="B1029" s="219"/>
      <c r="C1029" s="219"/>
      <c r="D1029" s="219"/>
      <c r="E1029" s="220"/>
      <c r="F1029" s="220"/>
      <c r="G1029" s="221"/>
      <c r="H1029" s="221"/>
      <c r="I1029" s="221"/>
      <c r="J1029" s="221"/>
      <c r="K1029" s="221"/>
      <c r="L1029" s="220"/>
      <c r="M1029" s="222"/>
    </row>
    <row r="1030" spans="1:13" ht="12" customHeight="1">
      <c r="A1030" s="223"/>
      <c r="B1030" s="219"/>
      <c r="C1030" s="219"/>
      <c r="D1030" s="219"/>
      <c r="E1030" s="220"/>
      <c r="F1030" s="220"/>
      <c r="G1030" s="221"/>
      <c r="H1030" s="221"/>
      <c r="I1030" s="221"/>
      <c r="J1030" s="221"/>
      <c r="K1030" s="221"/>
      <c r="L1030" s="220"/>
      <c r="M1030" s="222"/>
    </row>
    <row r="1031" spans="1:13" ht="12" customHeight="1">
      <c r="A1031" s="223"/>
      <c r="B1031" s="219"/>
      <c r="C1031" s="219"/>
      <c r="D1031" s="219"/>
      <c r="E1031" s="220"/>
      <c r="F1031" s="220"/>
      <c r="G1031" s="221"/>
      <c r="H1031" s="221"/>
      <c r="I1031" s="221"/>
      <c r="J1031" s="221"/>
      <c r="K1031" s="221"/>
      <c r="L1031" s="220"/>
      <c r="M1031" s="222"/>
    </row>
    <row r="1032" spans="1:13" ht="12" customHeight="1">
      <c r="A1032" s="223"/>
      <c r="B1032" s="219"/>
      <c r="C1032" s="219"/>
      <c r="D1032" s="219"/>
      <c r="E1032" s="220"/>
      <c r="F1032" s="220"/>
      <c r="G1032" s="221"/>
      <c r="H1032" s="221"/>
      <c r="I1032" s="221"/>
      <c r="J1032" s="221"/>
      <c r="K1032" s="221"/>
      <c r="L1032" s="220"/>
      <c r="M1032" s="222"/>
    </row>
    <row r="1033" spans="1:13" ht="12" customHeight="1">
      <c r="A1033" s="223"/>
      <c r="B1033" s="219"/>
      <c r="C1033" s="219"/>
      <c r="D1033" s="219"/>
      <c r="E1033" s="220"/>
      <c r="F1033" s="220"/>
      <c r="G1033" s="221"/>
      <c r="H1033" s="221"/>
      <c r="I1033" s="221"/>
      <c r="J1033" s="221"/>
      <c r="K1033" s="221"/>
      <c r="L1033" s="220"/>
      <c r="M1033" s="222"/>
    </row>
    <row r="1034" spans="1:13" ht="12" customHeight="1">
      <c r="A1034" s="223"/>
      <c r="B1034" s="219"/>
      <c r="C1034" s="219"/>
      <c r="D1034" s="219"/>
      <c r="E1034" s="220"/>
      <c r="F1034" s="220"/>
      <c r="G1034" s="221"/>
      <c r="H1034" s="221"/>
      <c r="I1034" s="221"/>
      <c r="J1034" s="221"/>
      <c r="K1034" s="221"/>
      <c r="L1034" s="220"/>
      <c r="M1034" s="222"/>
    </row>
    <row r="1035" spans="1:13" ht="12" customHeight="1">
      <c r="A1035" s="223"/>
      <c r="B1035" s="219"/>
      <c r="C1035" s="219"/>
      <c r="D1035" s="219"/>
      <c r="E1035" s="220"/>
      <c r="F1035" s="220"/>
      <c r="G1035" s="221"/>
      <c r="H1035" s="221"/>
      <c r="I1035" s="221"/>
      <c r="J1035" s="221"/>
      <c r="K1035" s="221"/>
      <c r="L1035" s="220"/>
      <c r="M1035" s="222"/>
    </row>
    <row r="1036" spans="1:13" ht="12" customHeight="1">
      <c r="A1036" s="223"/>
      <c r="B1036" s="219"/>
      <c r="C1036" s="219"/>
      <c r="D1036" s="219"/>
      <c r="E1036" s="220"/>
      <c r="F1036" s="220"/>
      <c r="G1036" s="221"/>
      <c r="H1036" s="221"/>
      <c r="I1036" s="221"/>
      <c r="J1036" s="221"/>
      <c r="K1036" s="221"/>
      <c r="L1036" s="220"/>
      <c r="M1036" s="222"/>
    </row>
    <row r="1037" spans="1:13" ht="12" customHeight="1">
      <c r="A1037" s="223"/>
      <c r="B1037" s="219"/>
      <c r="C1037" s="219"/>
      <c r="D1037" s="219"/>
      <c r="E1037" s="220"/>
      <c r="F1037" s="220"/>
      <c r="G1037" s="221"/>
      <c r="H1037" s="221"/>
      <c r="I1037" s="221"/>
      <c r="J1037" s="221"/>
      <c r="K1037" s="221"/>
      <c r="L1037" s="220"/>
      <c r="M1037" s="222"/>
    </row>
    <row r="1038" spans="1:13" ht="12" customHeight="1">
      <c r="A1038" s="223"/>
      <c r="B1038" s="219"/>
      <c r="C1038" s="219"/>
      <c r="D1038" s="219"/>
      <c r="E1038" s="220"/>
      <c r="F1038" s="220"/>
      <c r="G1038" s="221"/>
      <c r="H1038" s="221"/>
      <c r="I1038" s="221"/>
      <c r="J1038" s="221"/>
      <c r="K1038" s="221"/>
      <c r="L1038" s="220"/>
      <c r="M1038" s="222"/>
    </row>
    <row r="1039" spans="1:13" ht="12" customHeight="1">
      <c r="A1039" s="223"/>
      <c r="B1039" s="219"/>
      <c r="C1039" s="219"/>
      <c r="D1039" s="219"/>
      <c r="E1039" s="220"/>
      <c r="F1039" s="220"/>
      <c r="G1039" s="221"/>
      <c r="H1039" s="221"/>
      <c r="I1039" s="221"/>
      <c r="J1039" s="221"/>
      <c r="K1039" s="221"/>
      <c r="L1039" s="220"/>
      <c r="M1039" s="222"/>
    </row>
    <row r="1040" spans="1:13" ht="12" customHeight="1">
      <c r="A1040" s="223"/>
      <c r="B1040" s="219"/>
      <c r="C1040" s="219"/>
      <c r="D1040" s="219"/>
      <c r="E1040" s="220"/>
      <c r="F1040" s="220"/>
      <c r="G1040" s="221"/>
      <c r="H1040" s="221"/>
      <c r="I1040" s="221"/>
      <c r="J1040" s="221"/>
      <c r="K1040" s="221"/>
      <c r="L1040" s="220"/>
      <c r="M1040" s="222"/>
    </row>
    <row r="1041" spans="1:13" ht="12" customHeight="1">
      <c r="A1041" s="223"/>
      <c r="B1041" s="219"/>
      <c r="C1041" s="219"/>
      <c r="D1041" s="219"/>
      <c r="E1041" s="220"/>
      <c r="F1041" s="220"/>
      <c r="G1041" s="221"/>
      <c r="H1041" s="221"/>
      <c r="I1041" s="221"/>
      <c r="J1041" s="221"/>
      <c r="K1041" s="221"/>
      <c r="L1041" s="220"/>
      <c r="M1041" s="222"/>
    </row>
    <row r="1042" spans="1:13" ht="12" customHeight="1">
      <c r="A1042" s="223"/>
      <c r="B1042" s="219"/>
      <c r="C1042" s="219"/>
      <c r="D1042" s="219"/>
      <c r="E1042" s="220"/>
      <c r="F1042" s="220"/>
      <c r="G1042" s="221"/>
      <c r="H1042" s="221"/>
      <c r="I1042" s="221"/>
      <c r="J1042" s="221"/>
      <c r="K1042" s="221"/>
      <c r="L1042" s="220"/>
      <c r="M1042" s="222"/>
    </row>
    <row r="1043" spans="1:13" ht="12" customHeight="1">
      <c r="A1043" s="223"/>
      <c r="B1043" s="219"/>
      <c r="C1043" s="219"/>
      <c r="D1043" s="219"/>
      <c r="E1043" s="220"/>
      <c r="F1043" s="220"/>
      <c r="G1043" s="221"/>
      <c r="H1043" s="221"/>
      <c r="I1043" s="221"/>
      <c r="J1043" s="221"/>
      <c r="K1043" s="221"/>
      <c r="L1043" s="220"/>
      <c r="M1043" s="222"/>
    </row>
    <row r="1044" spans="1:13" ht="12" customHeight="1">
      <c r="A1044" s="223"/>
      <c r="B1044" s="219"/>
      <c r="C1044" s="219"/>
      <c r="D1044" s="219"/>
      <c r="E1044" s="220"/>
      <c r="F1044" s="220"/>
      <c r="G1044" s="221"/>
      <c r="H1044" s="221"/>
      <c r="I1044" s="221"/>
      <c r="J1044" s="221"/>
      <c r="K1044" s="221"/>
      <c r="L1044" s="220"/>
      <c r="M1044" s="222"/>
    </row>
    <row r="1045" spans="1:13" ht="12" customHeight="1">
      <c r="A1045" s="223"/>
      <c r="B1045" s="219"/>
      <c r="C1045" s="219"/>
      <c r="D1045" s="219"/>
      <c r="E1045" s="220"/>
      <c r="F1045" s="220"/>
      <c r="G1045" s="221"/>
      <c r="H1045" s="221"/>
      <c r="I1045" s="221"/>
      <c r="J1045" s="221"/>
      <c r="K1045" s="221"/>
      <c r="L1045" s="220"/>
      <c r="M1045" s="222"/>
    </row>
    <row r="1046" spans="1:13" ht="12" customHeight="1">
      <c r="A1046" s="223"/>
      <c r="B1046" s="219"/>
      <c r="C1046" s="219"/>
      <c r="D1046" s="219"/>
      <c r="E1046" s="220"/>
      <c r="F1046" s="220"/>
      <c r="G1046" s="221"/>
      <c r="H1046" s="221"/>
      <c r="I1046" s="221"/>
      <c r="J1046" s="221"/>
      <c r="K1046" s="221"/>
      <c r="L1046" s="220"/>
      <c r="M1046" s="222"/>
    </row>
    <row r="1047" spans="1:13" ht="12" customHeight="1">
      <c r="A1047" s="223"/>
      <c r="B1047" s="219"/>
      <c r="C1047" s="219"/>
      <c r="D1047" s="219"/>
      <c r="E1047" s="220"/>
      <c r="F1047" s="220"/>
      <c r="G1047" s="221"/>
      <c r="H1047" s="221"/>
      <c r="I1047" s="221"/>
      <c r="J1047" s="221"/>
      <c r="K1047" s="221"/>
      <c r="L1047" s="220"/>
      <c r="M1047" s="222"/>
    </row>
    <row r="1048" spans="1:13" ht="12" customHeight="1">
      <c r="A1048" s="223"/>
      <c r="B1048" s="219"/>
      <c r="C1048" s="219"/>
      <c r="D1048" s="219"/>
      <c r="E1048" s="220"/>
      <c r="F1048" s="220"/>
      <c r="G1048" s="221"/>
      <c r="H1048" s="221"/>
      <c r="I1048" s="221"/>
      <c r="J1048" s="221"/>
      <c r="K1048" s="221"/>
      <c r="L1048" s="220"/>
      <c r="M1048" s="222"/>
    </row>
    <row r="1049" spans="1:13" ht="12" customHeight="1">
      <c r="A1049" s="223"/>
      <c r="B1049" s="219"/>
      <c r="C1049" s="219"/>
      <c r="D1049" s="219"/>
      <c r="E1049" s="220"/>
      <c r="F1049" s="220"/>
      <c r="G1049" s="221"/>
      <c r="H1049" s="221"/>
      <c r="I1049" s="221"/>
      <c r="J1049" s="221"/>
      <c r="K1049" s="221"/>
      <c r="L1049" s="220"/>
      <c r="M1049" s="222"/>
    </row>
    <row r="1050" spans="1:13" ht="12" customHeight="1">
      <c r="A1050" s="223"/>
      <c r="B1050" s="219"/>
      <c r="C1050" s="219"/>
      <c r="D1050" s="219"/>
      <c r="E1050" s="220"/>
      <c r="F1050" s="220"/>
      <c r="G1050" s="221"/>
      <c r="H1050" s="221"/>
      <c r="I1050" s="221"/>
      <c r="J1050" s="221"/>
      <c r="K1050" s="221"/>
      <c r="L1050" s="220"/>
      <c r="M1050" s="222"/>
    </row>
    <row r="1051" spans="1:13" ht="12" customHeight="1">
      <c r="A1051" s="223"/>
      <c r="B1051" s="219"/>
      <c r="C1051" s="219"/>
      <c r="D1051" s="219"/>
      <c r="E1051" s="220"/>
      <c r="F1051" s="220"/>
      <c r="G1051" s="221"/>
      <c r="H1051" s="221"/>
      <c r="I1051" s="221"/>
      <c r="J1051" s="221"/>
      <c r="K1051" s="221"/>
      <c r="L1051" s="220"/>
      <c r="M1051" s="222"/>
    </row>
    <row r="1052" spans="1:13" ht="12" customHeight="1">
      <c r="A1052" s="223"/>
      <c r="B1052" s="219"/>
      <c r="C1052" s="219"/>
      <c r="D1052" s="219"/>
      <c r="E1052" s="220"/>
      <c r="F1052" s="220"/>
      <c r="G1052" s="221"/>
      <c r="H1052" s="221"/>
      <c r="I1052" s="221"/>
      <c r="J1052" s="221"/>
      <c r="K1052" s="221"/>
      <c r="L1052" s="220"/>
      <c r="M1052" s="222"/>
    </row>
    <row r="1053" spans="1:13" ht="12" customHeight="1">
      <c r="A1053" s="223"/>
      <c r="B1053" s="219"/>
      <c r="C1053" s="219"/>
      <c r="D1053" s="219"/>
      <c r="E1053" s="220"/>
      <c r="F1053" s="220"/>
      <c r="G1053" s="221"/>
      <c r="H1053" s="221"/>
      <c r="I1053" s="221"/>
      <c r="J1053" s="221"/>
      <c r="K1053" s="221"/>
      <c r="L1053" s="220"/>
      <c r="M1053" s="222"/>
    </row>
    <row r="1054" spans="1:13" ht="12" customHeight="1">
      <c r="A1054" s="223"/>
      <c r="B1054" s="219"/>
      <c r="C1054" s="219"/>
      <c r="D1054" s="219"/>
      <c r="E1054" s="220"/>
      <c r="F1054" s="220"/>
      <c r="G1054" s="221"/>
      <c r="H1054" s="221"/>
      <c r="I1054" s="221"/>
      <c r="J1054" s="221"/>
      <c r="K1054" s="221"/>
      <c r="L1054" s="220"/>
      <c r="M1054" s="222"/>
    </row>
    <row r="1055" spans="1:13" ht="12" customHeight="1">
      <c r="A1055" s="223"/>
      <c r="B1055" s="219"/>
      <c r="C1055" s="219"/>
      <c r="D1055" s="219"/>
      <c r="E1055" s="220"/>
      <c r="F1055" s="220"/>
      <c r="G1055" s="221"/>
      <c r="H1055" s="221"/>
      <c r="I1055" s="221"/>
      <c r="J1055" s="221"/>
      <c r="K1055" s="221"/>
      <c r="L1055" s="220"/>
      <c r="M1055" s="222"/>
    </row>
    <row r="1056" spans="1:13" ht="12" customHeight="1">
      <c r="A1056" s="223"/>
      <c r="B1056" s="219"/>
      <c r="C1056" s="219"/>
      <c r="D1056" s="219"/>
      <c r="E1056" s="220"/>
      <c r="F1056" s="220"/>
      <c r="G1056" s="221"/>
      <c r="H1056" s="221"/>
      <c r="I1056" s="221"/>
      <c r="J1056" s="221"/>
      <c r="K1056" s="221"/>
      <c r="L1056" s="220"/>
      <c r="M1056" s="222"/>
    </row>
    <row r="1057" spans="1:13" ht="12" customHeight="1">
      <c r="A1057" s="223"/>
      <c r="B1057" s="219"/>
      <c r="C1057" s="219"/>
      <c r="D1057" s="219"/>
      <c r="E1057" s="220"/>
      <c r="F1057" s="220"/>
      <c r="G1057" s="221"/>
      <c r="H1057" s="221"/>
      <c r="I1057" s="221"/>
      <c r="J1057" s="221"/>
      <c r="K1057" s="221"/>
      <c r="L1057" s="220"/>
      <c r="M1057" s="222"/>
    </row>
    <row r="1058" spans="1:13" ht="12" customHeight="1">
      <c r="A1058" s="223"/>
      <c r="B1058" s="219"/>
      <c r="C1058" s="219"/>
      <c r="D1058" s="219"/>
      <c r="E1058" s="220"/>
      <c r="F1058" s="220"/>
      <c r="G1058" s="221"/>
      <c r="H1058" s="221"/>
      <c r="I1058" s="221"/>
      <c r="J1058" s="221"/>
      <c r="K1058" s="221"/>
      <c r="L1058" s="220"/>
      <c r="M1058" s="222"/>
    </row>
    <row r="1059" spans="1:13" ht="12" customHeight="1">
      <c r="A1059" s="223"/>
      <c r="B1059" s="219"/>
      <c r="C1059" s="219"/>
      <c r="D1059" s="219"/>
      <c r="E1059" s="220"/>
      <c r="F1059" s="220"/>
      <c r="G1059" s="221"/>
      <c r="H1059" s="221"/>
      <c r="I1059" s="221"/>
      <c r="J1059" s="221"/>
      <c r="K1059" s="221"/>
      <c r="L1059" s="220"/>
      <c r="M1059" s="222"/>
    </row>
    <row r="1060" spans="1:13" ht="12" customHeight="1">
      <c r="A1060" s="223"/>
      <c r="B1060" s="219"/>
      <c r="C1060" s="219"/>
      <c r="D1060" s="219"/>
      <c r="E1060" s="220"/>
      <c r="F1060" s="220"/>
      <c r="G1060" s="221"/>
      <c r="H1060" s="221"/>
      <c r="I1060" s="221"/>
      <c r="J1060" s="221"/>
      <c r="K1060" s="221"/>
      <c r="L1060" s="220"/>
      <c r="M1060" s="222"/>
    </row>
    <row r="1061" spans="1:13" ht="12" customHeight="1">
      <c r="A1061" s="223"/>
      <c r="B1061" s="219"/>
      <c r="C1061" s="219"/>
      <c r="D1061" s="219"/>
      <c r="E1061" s="220"/>
      <c r="F1061" s="220"/>
      <c r="G1061" s="221"/>
      <c r="H1061" s="221"/>
      <c r="I1061" s="221"/>
      <c r="J1061" s="221"/>
      <c r="K1061" s="221"/>
      <c r="L1061" s="220"/>
      <c r="M1061" s="222"/>
    </row>
    <row r="1062" spans="1:13" ht="12" customHeight="1">
      <c r="A1062" s="223"/>
      <c r="B1062" s="219"/>
      <c r="C1062" s="219"/>
      <c r="D1062" s="219"/>
      <c r="E1062" s="220"/>
      <c r="F1062" s="220"/>
      <c r="G1062" s="221"/>
      <c r="H1062" s="221"/>
      <c r="I1062" s="221"/>
      <c r="J1062" s="221"/>
      <c r="K1062" s="221"/>
      <c r="L1062" s="220"/>
      <c r="M1062" s="222"/>
    </row>
    <row r="1063" spans="1:13" ht="12" customHeight="1">
      <c r="A1063" s="223"/>
      <c r="B1063" s="219"/>
      <c r="C1063" s="219"/>
      <c r="D1063" s="219"/>
      <c r="E1063" s="220"/>
      <c r="F1063" s="220"/>
      <c r="G1063" s="221"/>
      <c r="H1063" s="221"/>
      <c r="I1063" s="221"/>
      <c r="J1063" s="221"/>
      <c r="K1063" s="221"/>
      <c r="L1063" s="220"/>
      <c r="M1063" s="222"/>
    </row>
    <row r="1064" spans="1:13" ht="12" customHeight="1">
      <c r="A1064" s="223"/>
      <c r="B1064" s="219"/>
      <c r="C1064" s="219"/>
      <c r="D1064" s="219"/>
      <c r="E1064" s="220"/>
      <c r="F1064" s="220"/>
      <c r="G1064" s="221"/>
      <c r="H1064" s="221"/>
      <c r="I1064" s="221"/>
      <c r="J1064" s="221"/>
      <c r="K1064" s="221"/>
      <c r="L1064" s="220"/>
      <c r="M1064" s="222"/>
    </row>
    <row r="1065" spans="1:13" ht="12" customHeight="1">
      <c r="A1065" s="223"/>
      <c r="B1065" s="219"/>
      <c r="C1065" s="219"/>
      <c r="D1065" s="219"/>
      <c r="E1065" s="220"/>
      <c r="F1065" s="220"/>
      <c r="G1065" s="221"/>
      <c r="H1065" s="221"/>
      <c r="I1065" s="221"/>
      <c r="J1065" s="221"/>
      <c r="K1065" s="221"/>
      <c r="L1065" s="220"/>
      <c r="M1065" s="222"/>
    </row>
    <row r="1066" spans="1:13" ht="12" customHeight="1">
      <c r="A1066" s="223"/>
      <c r="B1066" s="219"/>
      <c r="C1066" s="219"/>
      <c r="D1066" s="219"/>
      <c r="E1066" s="220"/>
      <c r="F1066" s="220"/>
      <c r="G1066" s="221"/>
      <c r="H1066" s="221"/>
      <c r="I1066" s="221"/>
      <c r="J1066" s="221"/>
      <c r="K1066" s="221"/>
      <c r="L1066" s="220"/>
      <c r="M1066" s="222"/>
    </row>
    <row r="1067" spans="1:13" ht="12" customHeight="1">
      <c r="A1067" s="223"/>
      <c r="B1067" s="219"/>
      <c r="C1067" s="219"/>
      <c r="D1067" s="219"/>
      <c r="E1067" s="220"/>
      <c r="F1067" s="220"/>
      <c r="G1067" s="221"/>
      <c r="H1067" s="221"/>
      <c r="I1067" s="221"/>
      <c r="J1067" s="221"/>
      <c r="K1067" s="221"/>
      <c r="L1067" s="220"/>
      <c r="M1067" s="222"/>
    </row>
    <row r="1068" spans="1:13" ht="12" customHeight="1">
      <c r="A1068" s="223"/>
      <c r="B1068" s="219"/>
      <c r="C1068" s="219"/>
      <c r="D1068" s="219"/>
      <c r="E1068" s="220"/>
      <c r="F1068" s="220"/>
      <c r="G1068" s="221"/>
      <c r="H1068" s="221"/>
      <c r="I1068" s="221"/>
      <c r="J1068" s="221"/>
      <c r="K1068" s="221"/>
      <c r="L1068" s="220"/>
      <c r="M1068" s="222"/>
    </row>
    <row r="1069" spans="1:13" ht="12" customHeight="1">
      <c r="A1069" s="223"/>
      <c r="B1069" s="219"/>
      <c r="C1069" s="219"/>
      <c r="D1069" s="219"/>
      <c r="E1069" s="220"/>
      <c r="F1069" s="220"/>
      <c r="G1069" s="221"/>
      <c r="H1069" s="221"/>
      <c r="I1069" s="221"/>
      <c r="J1069" s="221"/>
      <c r="K1069" s="221"/>
      <c r="L1069" s="220"/>
      <c r="M1069" s="222"/>
    </row>
    <row r="1070" spans="1:13" ht="12" customHeight="1">
      <c r="A1070" s="223"/>
      <c r="B1070" s="219"/>
      <c r="C1070" s="219"/>
      <c r="D1070" s="219"/>
      <c r="E1070" s="220"/>
      <c r="F1070" s="220"/>
      <c r="G1070" s="221"/>
      <c r="H1070" s="221"/>
      <c r="I1070" s="221"/>
      <c r="J1070" s="221"/>
      <c r="K1070" s="221"/>
      <c r="L1070" s="220"/>
      <c r="M1070" s="222"/>
    </row>
    <row r="1071" spans="1:13" ht="12" customHeight="1">
      <c r="A1071" s="223"/>
      <c r="B1071" s="219"/>
      <c r="C1071" s="219"/>
      <c r="D1071" s="219"/>
      <c r="E1071" s="220"/>
      <c r="F1071" s="220"/>
      <c r="G1071" s="221"/>
      <c r="H1071" s="221"/>
      <c r="I1071" s="221"/>
      <c r="J1071" s="221"/>
      <c r="K1071" s="221"/>
      <c r="L1071" s="220"/>
      <c r="M1071" s="222"/>
    </row>
    <row r="1072" spans="1:13" ht="12" customHeight="1">
      <c r="A1072" s="223"/>
      <c r="B1072" s="219"/>
      <c r="C1072" s="219"/>
      <c r="D1072" s="219"/>
      <c r="E1072" s="220"/>
      <c r="F1072" s="220"/>
      <c r="G1072" s="221"/>
      <c r="H1072" s="221"/>
      <c r="I1072" s="221"/>
      <c r="J1072" s="221"/>
      <c r="K1072" s="221"/>
      <c r="L1072" s="220"/>
      <c r="M1072" s="222"/>
    </row>
    <row r="1073" spans="1:13" ht="12" customHeight="1">
      <c r="A1073" s="223"/>
      <c r="B1073" s="219"/>
      <c r="C1073" s="219"/>
      <c r="D1073" s="219"/>
      <c r="E1073" s="220"/>
      <c r="F1073" s="220"/>
      <c r="G1073" s="221"/>
      <c r="H1073" s="221"/>
      <c r="I1073" s="221"/>
      <c r="J1073" s="221"/>
      <c r="K1073" s="221"/>
      <c r="L1073" s="220"/>
      <c r="M1073" s="222"/>
    </row>
    <row r="1074" spans="1:13" ht="12" customHeight="1">
      <c r="A1074" s="223"/>
      <c r="B1074" s="219"/>
      <c r="C1074" s="219"/>
      <c r="D1074" s="219"/>
      <c r="E1074" s="220"/>
      <c r="F1074" s="220"/>
      <c r="G1074" s="221"/>
      <c r="H1074" s="221"/>
      <c r="I1074" s="221"/>
      <c r="J1074" s="221"/>
      <c r="K1074" s="221"/>
      <c r="L1074" s="220"/>
      <c r="M1074" s="222"/>
    </row>
    <row r="1075" spans="1:13" ht="12" customHeight="1">
      <c r="A1075" s="223"/>
      <c r="B1075" s="219"/>
      <c r="C1075" s="219"/>
      <c r="D1075" s="219"/>
      <c r="E1075" s="220"/>
      <c r="F1075" s="220"/>
      <c r="G1075" s="221"/>
      <c r="H1075" s="221"/>
      <c r="I1075" s="221"/>
      <c r="J1075" s="221"/>
      <c r="K1075" s="221"/>
      <c r="L1075" s="220"/>
      <c r="M1075" s="222"/>
    </row>
    <row r="1076" spans="1:13" ht="12" customHeight="1">
      <c r="A1076" s="223"/>
      <c r="B1076" s="219"/>
      <c r="C1076" s="219"/>
      <c r="D1076" s="219"/>
      <c r="E1076" s="220"/>
      <c r="F1076" s="220"/>
      <c r="G1076" s="221"/>
      <c r="H1076" s="221"/>
      <c r="I1076" s="221"/>
      <c r="J1076" s="221"/>
      <c r="K1076" s="221"/>
      <c r="L1076" s="220"/>
      <c r="M1076" s="222"/>
    </row>
    <row r="1077" spans="1:13" ht="12" customHeight="1">
      <c r="A1077" s="223"/>
      <c r="B1077" s="219"/>
      <c r="C1077" s="219"/>
      <c r="D1077" s="219"/>
      <c r="E1077" s="220"/>
      <c r="F1077" s="220"/>
      <c r="G1077" s="221"/>
      <c r="H1077" s="221"/>
      <c r="I1077" s="221"/>
      <c r="J1077" s="221"/>
      <c r="K1077" s="221"/>
      <c r="L1077" s="220"/>
      <c r="M1077" s="222"/>
    </row>
    <row r="1078" spans="1:13" ht="12" customHeight="1">
      <c r="A1078" s="223"/>
      <c r="B1078" s="219"/>
      <c r="C1078" s="219"/>
      <c r="D1078" s="219"/>
      <c r="E1078" s="220"/>
      <c r="F1078" s="220"/>
      <c r="G1078" s="221"/>
      <c r="H1078" s="221"/>
      <c r="I1078" s="221"/>
      <c r="J1078" s="221"/>
      <c r="K1078" s="221"/>
      <c r="L1078" s="220"/>
      <c r="M1078" s="222"/>
    </row>
    <row r="1079" spans="1:13" ht="12" customHeight="1">
      <c r="A1079" s="223"/>
      <c r="B1079" s="219"/>
      <c r="C1079" s="219"/>
      <c r="D1079" s="219"/>
      <c r="E1079" s="220"/>
      <c r="F1079" s="220"/>
      <c r="G1079" s="221"/>
      <c r="H1079" s="221"/>
      <c r="I1079" s="221"/>
      <c r="J1079" s="221"/>
      <c r="K1079" s="221"/>
      <c r="L1079" s="220"/>
      <c r="M1079" s="222"/>
    </row>
    <row r="1080" spans="1:13" ht="12" customHeight="1">
      <c r="A1080" s="223"/>
      <c r="B1080" s="219"/>
      <c r="C1080" s="219"/>
      <c r="D1080" s="219"/>
      <c r="E1080" s="220"/>
      <c r="F1080" s="220"/>
      <c r="G1080" s="221"/>
      <c r="H1080" s="221"/>
      <c r="I1080" s="221"/>
      <c r="J1080" s="221"/>
      <c r="K1080" s="221"/>
      <c r="L1080" s="220"/>
      <c r="M1080" s="222"/>
    </row>
    <row r="1081" spans="1:13" ht="12" customHeight="1">
      <c r="A1081" s="223"/>
      <c r="B1081" s="219"/>
      <c r="C1081" s="219"/>
      <c r="D1081" s="219"/>
      <c r="E1081" s="220"/>
      <c r="F1081" s="220"/>
      <c r="G1081" s="221"/>
      <c r="H1081" s="221"/>
      <c r="I1081" s="221"/>
      <c r="J1081" s="221"/>
      <c r="K1081" s="221"/>
      <c r="L1081" s="220"/>
      <c r="M1081" s="222"/>
    </row>
    <row r="1082" spans="1:13" ht="12" customHeight="1">
      <c r="A1082" s="223"/>
      <c r="B1082" s="219"/>
      <c r="C1082" s="219"/>
      <c r="D1082" s="219"/>
      <c r="E1082" s="220"/>
      <c r="F1082" s="220"/>
      <c r="G1082" s="221"/>
      <c r="H1082" s="221"/>
      <c r="I1082" s="221"/>
      <c r="J1082" s="221"/>
      <c r="K1082" s="221"/>
      <c r="L1082" s="220"/>
      <c r="M1082" s="222"/>
    </row>
    <row r="1083" spans="1:13" ht="12" customHeight="1">
      <c r="A1083" s="223"/>
      <c r="B1083" s="219"/>
      <c r="C1083" s="219"/>
      <c r="D1083" s="219"/>
      <c r="E1083" s="220"/>
      <c r="F1083" s="220"/>
      <c r="G1083" s="221"/>
      <c r="H1083" s="221"/>
      <c r="I1083" s="221"/>
      <c r="J1083" s="221"/>
      <c r="K1083" s="221"/>
      <c r="L1083" s="220"/>
      <c r="M1083" s="222"/>
    </row>
    <row r="1084" spans="1:13" ht="12" customHeight="1">
      <c r="A1084" s="223"/>
      <c r="B1084" s="219"/>
      <c r="C1084" s="219"/>
      <c r="D1084" s="219"/>
      <c r="E1084" s="220"/>
      <c r="F1084" s="220"/>
      <c r="G1084" s="221"/>
      <c r="H1084" s="221"/>
      <c r="I1084" s="221"/>
      <c r="J1084" s="221"/>
      <c r="K1084" s="221"/>
      <c r="L1084" s="220"/>
      <c r="M1084" s="222"/>
    </row>
    <row r="1085" spans="1:13" ht="12" customHeight="1">
      <c r="A1085" s="223"/>
      <c r="B1085" s="219"/>
      <c r="C1085" s="219"/>
      <c r="D1085" s="219"/>
      <c r="E1085" s="220"/>
      <c r="F1085" s="220"/>
      <c r="G1085" s="221"/>
      <c r="H1085" s="221"/>
      <c r="I1085" s="221"/>
      <c r="J1085" s="221"/>
      <c r="K1085" s="221"/>
      <c r="L1085" s="220"/>
      <c r="M1085" s="222"/>
    </row>
    <row r="1086" spans="1:13" ht="12" customHeight="1">
      <c r="A1086" s="223"/>
      <c r="B1086" s="219"/>
      <c r="C1086" s="219"/>
      <c r="D1086" s="219"/>
      <c r="E1086" s="220"/>
      <c r="F1086" s="220"/>
      <c r="G1086" s="221"/>
      <c r="H1086" s="221"/>
      <c r="I1086" s="221"/>
      <c r="J1086" s="221"/>
      <c r="K1086" s="221"/>
      <c r="L1086" s="220"/>
      <c r="M1086" s="222"/>
    </row>
    <row r="1087" spans="1:13" ht="12" customHeight="1">
      <c r="A1087" s="223"/>
      <c r="B1087" s="219"/>
      <c r="C1087" s="219"/>
      <c r="D1087" s="219"/>
      <c r="E1087" s="220"/>
      <c r="F1087" s="220"/>
      <c r="G1087" s="221"/>
      <c r="H1087" s="221"/>
      <c r="I1087" s="221"/>
      <c r="J1087" s="221"/>
      <c r="K1087" s="221"/>
      <c r="L1087" s="220"/>
      <c r="M1087" s="222"/>
    </row>
    <row r="1088" spans="1:13" ht="12" customHeight="1">
      <c r="A1088" s="223"/>
      <c r="B1088" s="219"/>
      <c r="C1088" s="219"/>
      <c r="D1088" s="219"/>
      <c r="E1088" s="220"/>
      <c r="F1088" s="220"/>
      <c r="G1088" s="221"/>
      <c r="H1088" s="221"/>
      <c r="I1088" s="221"/>
      <c r="J1088" s="221"/>
      <c r="K1088" s="221"/>
      <c r="L1088" s="220"/>
      <c r="M1088" s="222"/>
    </row>
    <row r="1089" spans="1:13" ht="12" customHeight="1">
      <c r="A1089" s="223"/>
      <c r="B1089" s="219"/>
      <c r="C1089" s="219"/>
      <c r="D1089" s="219"/>
      <c r="E1089" s="220"/>
      <c r="F1089" s="220"/>
      <c r="G1089" s="221"/>
      <c r="H1089" s="221"/>
      <c r="I1089" s="221"/>
      <c r="J1089" s="221"/>
      <c r="K1089" s="221"/>
      <c r="L1089" s="220"/>
      <c r="M1089" s="222"/>
    </row>
    <row r="1090" spans="1:13" ht="12" customHeight="1">
      <c r="A1090" s="223"/>
      <c r="B1090" s="219"/>
      <c r="C1090" s="219"/>
      <c r="D1090" s="219"/>
      <c r="E1090" s="220"/>
      <c r="F1090" s="220"/>
      <c r="G1090" s="221"/>
      <c r="H1090" s="221"/>
      <c r="I1090" s="221"/>
      <c r="J1090" s="221"/>
      <c r="K1090" s="221"/>
      <c r="L1090" s="220"/>
      <c r="M1090" s="222"/>
    </row>
    <row r="1091" spans="1:13" ht="12" customHeight="1">
      <c r="A1091" s="223"/>
      <c r="B1091" s="219"/>
      <c r="C1091" s="219"/>
      <c r="D1091" s="219"/>
      <c r="E1091" s="220"/>
      <c r="F1091" s="220"/>
      <c r="G1091" s="221"/>
      <c r="H1091" s="221"/>
      <c r="I1091" s="221"/>
      <c r="J1091" s="221"/>
      <c r="K1091" s="221"/>
      <c r="L1091" s="220"/>
      <c r="M1091" s="222"/>
    </row>
    <row r="1092" spans="1:13" ht="12" customHeight="1">
      <c r="A1092" s="223"/>
      <c r="B1092" s="219"/>
      <c r="C1092" s="219"/>
      <c r="D1092" s="219"/>
      <c r="E1092" s="220"/>
      <c r="F1092" s="220"/>
      <c r="G1092" s="221"/>
      <c r="H1092" s="221"/>
      <c r="I1092" s="221"/>
      <c r="J1092" s="221"/>
      <c r="K1092" s="221"/>
      <c r="L1092" s="220"/>
      <c r="M1092" s="222"/>
    </row>
    <row r="1093" spans="1:13" ht="12" customHeight="1">
      <c r="A1093" s="223"/>
      <c r="B1093" s="219"/>
      <c r="C1093" s="219"/>
      <c r="D1093" s="219"/>
      <c r="E1093" s="220"/>
      <c r="F1093" s="220"/>
      <c r="G1093" s="221"/>
      <c r="H1093" s="221"/>
      <c r="I1093" s="221"/>
      <c r="J1093" s="221"/>
      <c r="K1093" s="221"/>
      <c r="L1093" s="220"/>
      <c r="M1093" s="222"/>
    </row>
    <row r="1094" spans="1:13" ht="12" customHeight="1">
      <c r="A1094" s="223"/>
      <c r="B1094" s="219"/>
      <c r="C1094" s="219"/>
      <c r="D1094" s="219"/>
      <c r="E1094" s="220"/>
      <c r="F1094" s="220"/>
      <c r="G1094" s="221"/>
      <c r="H1094" s="221"/>
      <c r="I1094" s="221"/>
      <c r="J1094" s="221"/>
      <c r="K1094" s="221"/>
      <c r="L1094" s="220"/>
      <c r="M1094" s="222"/>
    </row>
    <row r="1095" spans="1:13" ht="12" customHeight="1">
      <c r="A1095" s="223"/>
      <c r="B1095" s="219"/>
      <c r="C1095" s="219"/>
      <c r="D1095" s="219"/>
      <c r="E1095" s="220"/>
      <c r="F1095" s="220"/>
      <c r="G1095" s="221"/>
      <c r="H1095" s="221"/>
      <c r="I1095" s="221"/>
      <c r="J1095" s="221"/>
      <c r="K1095" s="221"/>
      <c r="L1095" s="220"/>
      <c r="M1095" s="222"/>
    </row>
    <row r="1096" spans="1:13" ht="12" customHeight="1">
      <c r="A1096" s="223"/>
      <c r="B1096" s="219"/>
      <c r="C1096" s="219"/>
      <c r="D1096" s="219"/>
      <c r="E1096" s="220"/>
      <c r="F1096" s="220"/>
      <c r="G1096" s="221"/>
      <c r="H1096" s="221"/>
      <c r="I1096" s="221"/>
      <c r="J1096" s="221"/>
      <c r="K1096" s="221"/>
      <c r="L1096" s="220"/>
      <c r="M1096" s="222"/>
    </row>
    <row r="1097" spans="1:13" ht="12" customHeight="1">
      <c r="A1097" s="223"/>
      <c r="B1097" s="219"/>
      <c r="C1097" s="219"/>
      <c r="D1097" s="219"/>
      <c r="E1097" s="220"/>
      <c r="F1097" s="220"/>
      <c r="G1097" s="221"/>
      <c r="H1097" s="221"/>
      <c r="I1097" s="221"/>
      <c r="J1097" s="221"/>
      <c r="K1097" s="221"/>
      <c r="L1097" s="220"/>
      <c r="M1097" s="222"/>
    </row>
    <row r="1098" spans="1:13" ht="12" customHeight="1">
      <c r="A1098" s="223"/>
      <c r="B1098" s="219"/>
      <c r="C1098" s="219"/>
      <c r="D1098" s="219"/>
      <c r="E1098" s="220"/>
      <c r="F1098" s="220"/>
      <c r="G1098" s="221"/>
      <c r="H1098" s="221"/>
      <c r="I1098" s="221"/>
      <c r="J1098" s="221"/>
      <c r="K1098" s="221"/>
      <c r="L1098" s="220"/>
      <c r="M1098" s="222"/>
    </row>
    <row r="1099" spans="1:13" ht="12" customHeight="1">
      <c r="A1099" s="223"/>
      <c r="B1099" s="219"/>
      <c r="C1099" s="219"/>
      <c r="D1099" s="219"/>
      <c r="E1099" s="220"/>
      <c r="F1099" s="220"/>
      <c r="G1099" s="221"/>
      <c r="H1099" s="221"/>
      <c r="I1099" s="221"/>
      <c r="J1099" s="221"/>
      <c r="K1099" s="221"/>
      <c r="L1099" s="220"/>
      <c r="M1099" s="222"/>
    </row>
    <row r="1100" spans="1:13" ht="12" customHeight="1">
      <c r="A1100" s="223"/>
      <c r="B1100" s="219"/>
      <c r="C1100" s="219"/>
      <c r="D1100" s="219"/>
      <c r="E1100" s="220"/>
      <c r="F1100" s="220"/>
      <c r="G1100" s="221"/>
      <c r="H1100" s="221"/>
      <c r="I1100" s="221"/>
      <c r="J1100" s="221"/>
      <c r="K1100" s="221"/>
      <c r="L1100" s="220"/>
      <c r="M1100" s="222"/>
    </row>
    <row r="1101" spans="1:13" ht="12" customHeight="1">
      <c r="A1101" s="223"/>
      <c r="B1101" s="219"/>
      <c r="C1101" s="219"/>
      <c r="D1101" s="219"/>
      <c r="E1101" s="220"/>
      <c r="F1101" s="220"/>
      <c r="G1101" s="221"/>
      <c r="H1101" s="221"/>
      <c r="I1101" s="221"/>
      <c r="J1101" s="221"/>
      <c r="K1101" s="221"/>
      <c r="L1101" s="220"/>
      <c r="M1101" s="222"/>
    </row>
    <row r="1102" spans="1:13" ht="12" customHeight="1">
      <c r="A1102" s="223"/>
      <c r="B1102" s="219"/>
      <c r="C1102" s="219"/>
      <c r="D1102" s="219"/>
      <c r="E1102" s="220"/>
      <c r="F1102" s="220"/>
      <c r="G1102" s="221"/>
      <c r="H1102" s="221"/>
      <c r="I1102" s="221"/>
      <c r="J1102" s="221"/>
      <c r="K1102" s="221"/>
      <c r="L1102" s="220"/>
      <c r="M1102" s="222"/>
    </row>
    <row r="1103" spans="1:13" ht="12" customHeight="1">
      <c r="A1103" s="223"/>
      <c r="B1103" s="219"/>
      <c r="C1103" s="219"/>
      <c r="D1103" s="219"/>
      <c r="E1103" s="220"/>
      <c r="F1103" s="220"/>
      <c r="G1103" s="221"/>
      <c r="H1103" s="221"/>
      <c r="I1103" s="221"/>
      <c r="J1103" s="221"/>
      <c r="K1103" s="221"/>
      <c r="L1103" s="220"/>
      <c r="M1103" s="222"/>
    </row>
    <row r="1104" spans="1:13" ht="12" customHeight="1">
      <c r="A1104" s="223"/>
      <c r="B1104" s="219"/>
      <c r="C1104" s="219"/>
      <c r="D1104" s="219"/>
      <c r="E1104" s="220"/>
      <c r="F1104" s="220"/>
      <c r="G1104" s="221"/>
      <c r="H1104" s="221"/>
      <c r="I1104" s="221"/>
      <c r="J1104" s="221"/>
      <c r="K1104" s="221"/>
      <c r="L1104" s="220"/>
      <c r="M1104" s="222"/>
    </row>
    <row r="1105" spans="1:13" ht="12" customHeight="1">
      <c r="A1105" s="223"/>
      <c r="B1105" s="219"/>
      <c r="C1105" s="219"/>
      <c r="D1105" s="219"/>
      <c r="E1105" s="220"/>
      <c r="F1105" s="220"/>
      <c r="G1105" s="221"/>
      <c r="H1105" s="221"/>
      <c r="I1105" s="221"/>
      <c r="J1105" s="221"/>
      <c r="K1105" s="221"/>
      <c r="L1105" s="220"/>
      <c r="M1105" s="222"/>
    </row>
    <row r="1106" spans="1:13" ht="12" customHeight="1">
      <c r="A1106" s="223"/>
      <c r="B1106" s="219"/>
      <c r="C1106" s="219"/>
      <c r="D1106" s="219"/>
      <c r="E1106" s="220"/>
      <c r="F1106" s="220"/>
      <c r="G1106" s="221"/>
      <c r="H1106" s="221"/>
      <c r="I1106" s="221"/>
      <c r="J1106" s="221"/>
      <c r="K1106" s="221"/>
      <c r="L1106" s="220"/>
      <c r="M1106" s="222"/>
    </row>
    <row r="1107" spans="1:13" ht="12" customHeight="1">
      <c r="A1107" s="223"/>
      <c r="B1107" s="219"/>
      <c r="C1107" s="219"/>
      <c r="D1107" s="219"/>
      <c r="E1107" s="220"/>
      <c r="F1107" s="220"/>
      <c r="G1107" s="221"/>
      <c r="H1107" s="221"/>
      <c r="I1107" s="221"/>
      <c r="J1107" s="221"/>
      <c r="K1107" s="221"/>
      <c r="L1107" s="220"/>
      <c r="M1107" s="222"/>
    </row>
    <row r="1108" spans="1:13" ht="12" customHeight="1">
      <c r="A1108" s="223"/>
      <c r="B1108" s="219"/>
      <c r="C1108" s="219"/>
      <c r="D1108" s="219"/>
      <c r="E1108" s="220"/>
      <c r="F1108" s="220"/>
      <c r="G1108" s="221"/>
      <c r="H1108" s="221"/>
      <c r="I1108" s="221"/>
      <c r="J1108" s="221"/>
      <c r="K1108" s="221"/>
      <c r="L1108" s="220"/>
      <c r="M1108" s="222"/>
    </row>
    <row r="1109" spans="1:13" ht="12" customHeight="1">
      <c r="A1109" s="223"/>
      <c r="B1109" s="219"/>
      <c r="C1109" s="219"/>
      <c r="D1109" s="219"/>
      <c r="E1109" s="220"/>
      <c r="F1109" s="220"/>
      <c r="G1109" s="221"/>
      <c r="H1109" s="221"/>
      <c r="I1109" s="221"/>
      <c r="J1109" s="221"/>
      <c r="K1109" s="221"/>
      <c r="L1109" s="220"/>
      <c r="M1109" s="222"/>
    </row>
    <row r="1110" spans="1:13" ht="12" customHeight="1">
      <c r="A1110" s="223"/>
      <c r="B1110" s="219"/>
      <c r="C1110" s="219"/>
      <c r="D1110" s="219"/>
      <c r="E1110" s="220"/>
      <c r="F1110" s="220"/>
      <c r="G1110" s="221"/>
      <c r="H1110" s="221"/>
      <c r="I1110" s="221"/>
      <c r="J1110" s="221"/>
      <c r="K1110" s="221"/>
      <c r="L1110" s="220"/>
      <c r="M1110" s="222"/>
    </row>
    <row r="1111" spans="1:13" ht="12" customHeight="1">
      <c r="A1111" s="223"/>
      <c r="B1111" s="219"/>
      <c r="C1111" s="219"/>
      <c r="D1111" s="219"/>
      <c r="E1111" s="220"/>
      <c r="F1111" s="220"/>
      <c r="G1111" s="221"/>
      <c r="H1111" s="221"/>
      <c r="I1111" s="221"/>
      <c r="J1111" s="221"/>
      <c r="K1111" s="221"/>
      <c r="L1111" s="220"/>
      <c r="M1111" s="222"/>
    </row>
    <row r="1112" spans="1:13" ht="12" customHeight="1">
      <c r="A1112" s="223"/>
      <c r="B1112" s="219"/>
      <c r="C1112" s="219"/>
      <c r="D1112" s="219"/>
      <c r="E1112" s="220"/>
      <c r="F1112" s="220"/>
      <c r="G1112" s="221"/>
      <c r="H1112" s="221"/>
      <c r="I1112" s="221"/>
      <c r="J1112" s="221"/>
      <c r="K1112" s="221"/>
      <c r="L1112" s="220"/>
      <c r="M1112" s="222"/>
    </row>
    <row r="1113" spans="1:13" ht="12" customHeight="1">
      <c r="A1113" s="223"/>
      <c r="B1113" s="219"/>
      <c r="C1113" s="219"/>
      <c r="D1113" s="219"/>
      <c r="E1113" s="220"/>
      <c r="F1113" s="220"/>
      <c r="G1113" s="221"/>
      <c r="H1113" s="221"/>
      <c r="I1113" s="221"/>
      <c r="J1113" s="221"/>
      <c r="K1113" s="221"/>
      <c r="L1113" s="220"/>
      <c r="M1113" s="222"/>
    </row>
    <row r="1114" spans="1:13" ht="12" customHeight="1">
      <c r="A1114" s="223"/>
      <c r="B1114" s="219"/>
      <c r="C1114" s="219"/>
      <c r="D1114" s="219"/>
      <c r="E1114" s="220"/>
      <c r="F1114" s="220"/>
      <c r="G1114" s="221"/>
      <c r="H1114" s="221"/>
      <c r="I1114" s="221"/>
      <c r="J1114" s="221"/>
      <c r="K1114" s="221"/>
      <c r="L1114" s="220"/>
      <c r="M1114" s="222"/>
    </row>
    <row r="1115" spans="1:13" ht="12" customHeight="1">
      <c r="A1115" s="223"/>
      <c r="B1115" s="219"/>
      <c r="C1115" s="219"/>
      <c r="D1115" s="219"/>
      <c r="E1115" s="220"/>
      <c r="F1115" s="220"/>
      <c r="G1115" s="221"/>
      <c r="H1115" s="221"/>
      <c r="I1115" s="221"/>
      <c r="J1115" s="221"/>
      <c r="K1115" s="221"/>
      <c r="L1115" s="220"/>
      <c r="M1115" s="222"/>
    </row>
    <row r="1116" spans="1:13" ht="12" customHeight="1">
      <c r="A1116" s="223"/>
      <c r="B1116" s="219"/>
      <c r="C1116" s="219"/>
      <c r="D1116" s="219"/>
      <c r="E1116" s="220"/>
      <c r="F1116" s="220"/>
      <c r="G1116" s="221"/>
      <c r="H1116" s="221"/>
      <c r="I1116" s="221"/>
      <c r="J1116" s="221"/>
      <c r="K1116" s="221"/>
      <c r="L1116" s="220"/>
      <c r="M1116" s="222"/>
    </row>
    <row r="1117" spans="1:13" ht="12" customHeight="1">
      <c r="A1117" s="223"/>
      <c r="B1117" s="219"/>
      <c r="C1117" s="219"/>
      <c r="D1117" s="219"/>
      <c r="E1117" s="220"/>
      <c r="F1117" s="220"/>
      <c r="G1117" s="221"/>
      <c r="H1117" s="221"/>
      <c r="I1117" s="221"/>
      <c r="J1117" s="221"/>
      <c r="K1117" s="221"/>
      <c r="L1117" s="220"/>
      <c r="M1117" s="222"/>
    </row>
    <row r="1118" spans="1:13" ht="12" customHeight="1">
      <c r="A1118" s="223"/>
      <c r="B1118" s="219"/>
      <c r="C1118" s="219"/>
      <c r="D1118" s="219"/>
      <c r="E1118" s="220"/>
      <c r="F1118" s="220"/>
      <c r="G1118" s="221"/>
      <c r="H1118" s="221"/>
      <c r="I1118" s="221"/>
      <c r="J1118" s="221"/>
      <c r="K1118" s="221"/>
      <c r="L1118" s="220"/>
      <c r="M1118" s="222"/>
    </row>
    <row r="1119" spans="1:13" ht="12" customHeight="1">
      <c r="A1119" s="223"/>
      <c r="B1119" s="219"/>
      <c r="C1119" s="219"/>
      <c r="D1119" s="219"/>
      <c r="E1119" s="220"/>
      <c r="F1119" s="220"/>
      <c r="G1119" s="221"/>
      <c r="H1119" s="221"/>
      <c r="I1119" s="221"/>
      <c r="J1119" s="221"/>
      <c r="K1119" s="221"/>
      <c r="L1119" s="220"/>
      <c r="M1119" s="222"/>
    </row>
    <row r="1120" spans="1:13" ht="12" customHeight="1">
      <c r="A1120" s="223"/>
      <c r="B1120" s="219"/>
      <c r="C1120" s="219"/>
      <c r="D1120" s="219"/>
      <c r="E1120" s="220"/>
      <c r="F1120" s="220"/>
      <c r="G1120" s="221"/>
      <c r="H1120" s="221"/>
      <c r="I1120" s="221"/>
      <c r="J1120" s="221"/>
      <c r="K1120" s="221"/>
      <c r="L1120" s="220"/>
      <c r="M1120" s="222"/>
    </row>
    <row r="1121" spans="1:13" ht="12" customHeight="1">
      <c r="A1121" s="223"/>
      <c r="B1121" s="219"/>
      <c r="C1121" s="219"/>
      <c r="D1121" s="219"/>
      <c r="E1121" s="220"/>
      <c r="F1121" s="220"/>
      <c r="G1121" s="221"/>
      <c r="H1121" s="221"/>
      <c r="I1121" s="221"/>
      <c r="J1121" s="221"/>
      <c r="K1121" s="221"/>
      <c r="L1121" s="220"/>
      <c r="M1121" s="222"/>
    </row>
    <row r="1122" spans="1:13" ht="12" customHeight="1">
      <c r="A1122" s="223"/>
      <c r="B1122" s="219"/>
      <c r="C1122" s="219"/>
      <c r="D1122" s="219"/>
      <c r="E1122" s="220"/>
      <c r="F1122" s="220"/>
      <c r="G1122" s="221"/>
      <c r="H1122" s="221"/>
      <c r="I1122" s="221"/>
      <c r="J1122" s="221"/>
      <c r="K1122" s="221"/>
      <c r="L1122" s="220"/>
      <c r="M1122" s="222"/>
    </row>
    <row r="1123" spans="1:13" ht="12" customHeight="1">
      <c r="A1123" s="223"/>
      <c r="B1123" s="219"/>
      <c r="C1123" s="219"/>
      <c r="D1123" s="219"/>
      <c r="E1123" s="220"/>
      <c r="F1123" s="220"/>
      <c r="G1123" s="221"/>
      <c r="H1123" s="221"/>
      <c r="I1123" s="221"/>
      <c r="J1123" s="221"/>
      <c r="K1123" s="221"/>
      <c r="L1123" s="220"/>
      <c r="M1123" s="222"/>
    </row>
    <row r="1124" spans="1:13" ht="12" customHeight="1">
      <c r="A1124" s="223"/>
      <c r="B1124" s="219"/>
      <c r="C1124" s="219"/>
      <c r="D1124" s="219"/>
      <c r="E1124" s="220"/>
      <c r="F1124" s="220"/>
      <c r="G1124" s="221"/>
      <c r="H1124" s="221"/>
      <c r="I1124" s="221"/>
      <c r="J1124" s="221"/>
      <c r="K1124" s="221"/>
      <c r="L1124" s="220"/>
      <c r="M1124" s="222"/>
    </row>
    <row r="1125" spans="1:13" ht="12" customHeight="1">
      <c r="A1125" s="223"/>
      <c r="B1125" s="219"/>
      <c r="C1125" s="219"/>
      <c r="D1125" s="219"/>
      <c r="E1125" s="220"/>
      <c r="F1125" s="220"/>
      <c r="G1125" s="221"/>
      <c r="H1125" s="221"/>
      <c r="I1125" s="221"/>
      <c r="J1125" s="221"/>
      <c r="K1125" s="221"/>
      <c r="L1125" s="220"/>
      <c r="M1125" s="222"/>
    </row>
    <row r="1126" spans="1:13" ht="12" customHeight="1">
      <c r="A1126" s="223"/>
      <c r="B1126" s="219"/>
      <c r="C1126" s="219"/>
      <c r="D1126" s="219"/>
      <c r="E1126" s="220"/>
      <c r="F1126" s="220"/>
      <c r="G1126" s="221"/>
      <c r="H1126" s="221"/>
      <c r="I1126" s="221"/>
      <c r="J1126" s="221"/>
      <c r="K1126" s="221"/>
      <c r="L1126" s="220"/>
      <c r="M1126" s="222"/>
    </row>
    <row r="1127" spans="1:13" ht="12" customHeight="1">
      <c r="A1127" s="223"/>
      <c r="B1127" s="219"/>
      <c r="C1127" s="219"/>
      <c r="D1127" s="219"/>
      <c r="E1127" s="220"/>
      <c r="F1127" s="220"/>
      <c r="G1127" s="221"/>
      <c r="H1127" s="221"/>
      <c r="I1127" s="221"/>
      <c r="J1127" s="221"/>
      <c r="K1127" s="221"/>
      <c r="L1127" s="220"/>
      <c r="M1127" s="222"/>
    </row>
    <row r="1128" spans="1:13" ht="12" customHeight="1">
      <c r="A1128" s="223"/>
      <c r="B1128" s="219"/>
      <c r="C1128" s="219"/>
      <c r="D1128" s="219"/>
      <c r="E1128" s="220"/>
      <c r="F1128" s="220"/>
      <c r="G1128" s="221"/>
      <c r="H1128" s="221"/>
      <c r="I1128" s="221"/>
      <c r="J1128" s="221"/>
      <c r="K1128" s="221"/>
      <c r="L1128" s="220"/>
      <c r="M1128" s="222"/>
    </row>
    <row r="1129" spans="1:13" ht="12" customHeight="1">
      <c r="A1129" s="223"/>
      <c r="B1129" s="219"/>
      <c r="C1129" s="219"/>
      <c r="D1129" s="219"/>
      <c r="E1129" s="220"/>
      <c r="F1129" s="220"/>
      <c r="G1129" s="221"/>
      <c r="H1129" s="221"/>
      <c r="I1129" s="221"/>
      <c r="J1129" s="221"/>
      <c r="K1129" s="221"/>
      <c r="L1129" s="220"/>
      <c r="M1129" s="222"/>
    </row>
    <row r="1130" spans="1:13" ht="12" customHeight="1">
      <c r="A1130" s="223"/>
      <c r="B1130" s="219"/>
      <c r="C1130" s="219"/>
      <c r="D1130" s="219"/>
      <c r="E1130" s="220"/>
      <c r="F1130" s="220"/>
      <c r="G1130" s="221"/>
      <c r="H1130" s="221"/>
      <c r="I1130" s="221"/>
      <c r="J1130" s="221"/>
      <c r="K1130" s="221"/>
      <c r="L1130" s="220"/>
      <c r="M1130" s="222"/>
    </row>
    <row r="1131" spans="1:13" ht="12" customHeight="1">
      <c r="A1131" s="223"/>
      <c r="B1131" s="219"/>
      <c r="C1131" s="219"/>
      <c r="D1131" s="219"/>
      <c r="E1131" s="220"/>
      <c r="F1131" s="220"/>
      <c r="G1131" s="221"/>
      <c r="H1131" s="221"/>
      <c r="I1131" s="221"/>
      <c r="J1131" s="221"/>
      <c r="K1131" s="221"/>
      <c r="L1131" s="220"/>
      <c r="M1131" s="222"/>
    </row>
    <row r="1132" spans="1:13" ht="12" customHeight="1">
      <c r="A1132" s="223"/>
      <c r="B1132" s="219"/>
      <c r="C1132" s="219"/>
      <c r="D1132" s="219"/>
      <c r="E1132" s="220"/>
      <c r="F1132" s="220"/>
      <c r="G1132" s="221"/>
      <c r="H1132" s="221"/>
      <c r="I1132" s="221"/>
      <c r="J1132" s="221"/>
      <c r="K1132" s="221"/>
      <c r="L1132" s="220"/>
      <c r="M1132" s="222"/>
    </row>
    <row r="1133" spans="1:13" ht="12" customHeight="1">
      <c r="A1133" s="223"/>
      <c r="B1133" s="219"/>
      <c r="C1133" s="219"/>
      <c r="D1133" s="219"/>
      <c r="E1133" s="220"/>
      <c r="F1133" s="220"/>
      <c r="G1133" s="221"/>
      <c r="H1133" s="221"/>
      <c r="I1133" s="221"/>
      <c r="J1133" s="221"/>
      <c r="K1133" s="221"/>
      <c r="L1133" s="220"/>
      <c r="M1133" s="222"/>
    </row>
    <row r="1134" spans="1:13" ht="12" customHeight="1">
      <c r="A1134" s="223"/>
      <c r="B1134" s="219"/>
      <c r="C1134" s="219"/>
      <c r="D1134" s="219"/>
      <c r="E1134" s="220"/>
      <c r="F1134" s="220"/>
      <c r="G1134" s="221"/>
      <c r="H1134" s="221"/>
      <c r="I1134" s="221"/>
      <c r="J1134" s="221"/>
      <c r="K1134" s="221"/>
      <c r="L1134" s="220"/>
      <c r="M1134" s="222"/>
    </row>
    <row r="1135" spans="1:13" ht="12" customHeight="1">
      <c r="A1135" s="223"/>
      <c r="B1135" s="219"/>
      <c r="C1135" s="219"/>
      <c r="D1135" s="219"/>
      <c r="E1135" s="220"/>
      <c r="F1135" s="220"/>
      <c r="G1135" s="221"/>
      <c r="H1135" s="221"/>
      <c r="I1135" s="221"/>
      <c r="J1135" s="221"/>
      <c r="K1135" s="221"/>
      <c r="L1135" s="220"/>
      <c r="M1135" s="222"/>
    </row>
    <row r="1136" spans="1:13" ht="12" customHeight="1">
      <c r="A1136" s="223"/>
      <c r="B1136" s="219"/>
      <c r="C1136" s="219"/>
      <c r="D1136" s="219"/>
      <c r="E1136" s="220"/>
      <c r="F1136" s="220"/>
      <c r="G1136" s="221"/>
      <c r="H1136" s="221"/>
      <c r="I1136" s="221"/>
      <c r="J1136" s="221"/>
      <c r="K1136" s="221"/>
      <c r="L1136" s="220"/>
      <c r="M1136" s="222"/>
    </row>
    <row r="1137" spans="1:13" ht="12" customHeight="1">
      <c r="A1137" s="223"/>
      <c r="B1137" s="219"/>
      <c r="C1137" s="219"/>
      <c r="D1137" s="219"/>
      <c r="E1137" s="220"/>
      <c r="F1137" s="220"/>
      <c r="G1137" s="221"/>
      <c r="H1137" s="221"/>
      <c r="I1137" s="221"/>
      <c r="J1137" s="221"/>
      <c r="K1137" s="221"/>
      <c r="L1137" s="220"/>
      <c r="M1137" s="222"/>
    </row>
    <row r="1138" spans="1:13" ht="12" customHeight="1">
      <c r="A1138" s="223"/>
      <c r="B1138" s="219"/>
      <c r="C1138" s="219"/>
      <c r="D1138" s="219"/>
      <c r="E1138" s="220"/>
      <c r="F1138" s="220"/>
      <c r="G1138" s="221"/>
      <c r="H1138" s="221"/>
      <c r="I1138" s="221"/>
      <c r="J1138" s="221"/>
      <c r="K1138" s="221"/>
      <c r="L1138" s="220"/>
      <c r="M1138" s="222"/>
    </row>
    <row r="1139" spans="1:13" ht="12" customHeight="1">
      <c r="A1139" s="223"/>
      <c r="B1139" s="219"/>
      <c r="C1139" s="219"/>
      <c r="D1139" s="219"/>
      <c r="E1139" s="220"/>
      <c r="F1139" s="220"/>
      <c r="G1139" s="221"/>
      <c r="H1139" s="221"/>
      <c r="I1139" s="221"/>
      <c r="J1139" s="221"/>
      <c r="K1139" s="221"/>
      <c r="L1139" s="220"/>
      <c r="M1139" s="222"/>
    </row>
    <row r="1140" spans="1:13" ht="12" customHeight="1">
      <c r="A1140" s="223"/>
      <c r="B1140" s="219"/>
      <c r="C1140" s="219"/>
      <c r="D1140" s="219"/>
      <c r="E1140" s="220"/>
      <c r="F1140" s="220"/>
      <c r="G1140" s="221"/>
      <c r="H1140" s="221"/>
      <c r="I1140" s="221"/>
      <c r="J1140" s="221"/>
      <c r="K1140" s="221"/>
      <c r="L1140" s="220"/>
      <c r="M1140" s="222"/>
    </row>
    <row r="1141" spans="1:13" ht="12" customHeight="1">
      <c r="A1141" s="223"/>
      <c r="B1141" s="219"/>
      <c r="C1141" s="219"/>
      <c r="D1141" s="219"/>
      <c r="E1141" s="220"/>
      <c r="F1141" s="220"/>
      <c r="G1141" s="221"/>
      <c r="H1141" s="221"/>
      <c r="I1141" s="221"/>
      <c r="J1141" s="221"/>
      <c r="K1141" s="221"/>
      <c r="L1141" s="220"/>
      <c r="M1141" s="222"/>
    </row>
    <row r="1142" spans="1:13" ht="12" customHeight="1">
      <c r="A1142" s="223"/>
      <c r="B1142" s="219"/>
      <c r="C1142" s="219"/>
      <c r="D1142" s="219"/>
      <c r="E1142" s="220"/>
      <c r="F1142" s="220"/>
      <c r="G1142" s="221"/>
      <c r="H1142" s="221"/>
      <c r="I1142" s="221"/>
      <c r="J1142" s="221"/>
      <c r="K1142" s="221"/>
      <c r="L1142" s="220"/>
      <c r="M1142" s="222"/>
    </row>
    <row r="1143" spans="1:13" ht="12" customHeight="1">
      <c r="A1143" s="223"/>
      <c r="B1143" s="219"/>
      <c r="C1143" s="219"/>
      <c r="D1143" s="219"/>
      <c r="E1143" s="220"/>
      <c r="F1143" s="220"/>
      <c r="G1143" s="221"/>
      <c r="H1143" s="221"/>
      <c r="I1143" s="221"/>
      <c r="J1143" s="221"/>
      <c r="K1143" s="221"/>
      <c r="L1143" s="220"/>
      <c r="M1143" s="222"/>
    </row>
    <row r="1144" spans="1:13" ht="12" customHeight="1">
      <c r="A1144" s="223"/>
      <c r="B1144" s="219"/>
      <c r="C1144" s="219"/>
      <c r="D1144" s="219"/>
      <c r="E1144" s="220"/>
      <c r="F1144" s="220"/>
      <c r="G1144" s="221"/>
      <c r="H1144" s="221"/>
      <c r="I1144" s="221"/>
      <c r="J1144" s="221"/>
      <c r="K1144" s="221"/>
      <c r="L1144" s="220"/>
      <c r="M1144" s="222"/>
    </row>
    <row r="1145" spans="1:13" ht="12" customHeight="1">
      <c r="A1145" s="223"/>
      <c r="B1145" s="219"/>
      <c r="C1145" s="219"/>
      <c r="D1145" s="219"/>
      <c r="E1145" s="220"/>
      <c r="F1145" s="220"/>
      <c r="G1145" s="221"/>
      <c r="H1145" s="221"/>
      <c r="I1145" s="221"/>
      <c r="J1145" s="221"/>
      <c r="K1145" s="221"/>
      <c r="L1145" s="220"/>
      <c r="M1145" s="222"/>
    </row>
    <row r="1146" spans="1:13" ht="12" customHeight="1">
      <c r="A1146" s="223"/>
      <c r="B1146" s="219"/>
      <c r="C1146" s="219"/>
      <c r="D1146" s="219"/>
      <c r="E1146" s="220"/>
      <c r="F1146" s="220"/>
      <c r="G1146" s="221"/>
      <c r="H1146" s="221"/>
      <c r="I1146" s="221"/>
      <c r="J1146" s="221"/>
      <c r="K1146" s="221"/>
      <c r="L1146" s="220"/>
      <c r="M1146" s="222"/>
    </row>
    <row r="1147" spans="1:13" ht="12" customHeight="1">
      <c r="A1147" s="223"/>
      <c r="B1147" s="219"/>
      <c r="C1147" s="219"/>
      <c r="D1147" s="219"/>
      <c r="E1147" s="220"/>
      <c r="F1147" s="220"/>
      <c r="G1147" s="221"/>
      <c r="H1147" s="221"/>
      <c r="I1147" s="221"/>
      <c r="J1147" s="221"/>
      <c r="K1147" s="221"/>
      <c r="L1147" s="220"/>
      <c r="M1147" s="222"/>
    </row>
    <row r="1148" spans="1:13" ht="12" customHeight="1">
      <c r="A1148" s="223"/>
      <c r="B1148" s="219"/>
      <c r="C1148" s="219"/>
      <c r="D1148" s="219"/>
      <c r="E1148" s="220"/>
      <c r="F1148" s="220"/>
      <c r="G1148" s="221"/>
      <c r="H1148" s="221"/>
      <c r="I1148" s="221"/>
      <c r="J1148" s="221"/>
      <c r="K1148" s="221"/>
      <c r="L1148" s="220"/>
      <c r="M1148" s="222"/>
    </row>
    <row r="1149" spans="1:13" ht="12" customHeight="1">
      <c r="A1149" s="223"/>
      <c r="B1149" s="219"/>
      <c r="C1149" s="219"/>
      <c r="D1149" s="219"/>
      <c r="E1149" s="220"/>
      <c r="F1149" s="220"/>
      <c r="G1149" s="221"/>
      <c r="H1149" s="221"/>
      <c r="I1149" s="221"/>
      <c r="J1149" s="221"/>
      <c r="K1149" s="221"/>
      <c r="L1149" s="220"/>
      <c r="M1149" s="222"/>
    </row>
    <row r="1150" spans="1:13" ht="12" customHeight="1">
      <c r="A1150" s="223"/>
      <c r="B1150" s="219"/>
      <c r="C1150" s="219"/>
      <c r="D1150" s="219"/>
      <c r="E1150" s="220"/>
      <c r="F1150" s="220"/>
      <c r="G1150" s="221"/>
      <c r="H1150" s="221"/>
      <c r="I1150" s="221"/>
      <c r="J1150" s="221"/>
      <c r="K1150" s="221"/>
      <c r="L1150" s="220"/>
      <c r="M1150" s="222"/>
    </row>
    <row r="1151" spans="1:13" ht="12" customHeight="1">
      <c r="A1151" s="223"/>
      <c r="B1151" s="219"/>
      <c r="C1151" s="219"/>
      <c r="D1151" s="219"/>
      <c r="E1151" s="220"/>
      <c r="F1151" s="220"/>
      <c r="G1151" s="221"/>
      <c r="H1151" s="221"/>
      <c r="I1151" s="221"/>
      <c r="J1151" s="221"/>
      <c r="K1151" s="221"/>
      <c r="L1151" s="220"/>
      <c r="M1151" s="222"/>
    </row>
    <row r="1152" spans="1:13" ht="12" customHeight="1">
      <c r="A1152" s="223"/>
      <c r="B1152" s="219"/>
      <c r="C1152" s="219"/>
      <c r="D1152" s="219"/>
      <c r="E1152" s="220"/>
      <c r="F1152" s="220"/>
      <c r="G1152" s="221"/>
      <c r="H1152" s="221"/>
      <c r="I1152" s="221"/>
      <c r="J1152" s="221"/>
      <c r="K1152" s="221"/>
      <c r="L1152" s="220"/>
      <c r="M1152" s="222"/>
    </row>
    <row r="1153" spans="1:13" ht="12" customHeight="1">
      <c r="A1153" s="223"/>
      <c r="B1153" s="219"/>
      <c r="C1153" s="219"/>
      <c r="D1153" s="219"/>
      <c r="E1153" s="220"/>
      <c r="F1153" s="220"/>
      <c r="G1153" s="221"/>
      <c r="H1153" s="221"/>
      <c r="I1153" s="221"/>
      <c r="J1153" s="221"/>
      <c r="K1153" s="221"/>
      <c r="L1153" s="220"/>
      <c r="M1153" s="222"/>
    </row>
    <row r="1154" spans="1:13" ht="12" customHeight="1">
      <c r="A1154" s="223"/>
      <c r="B1154" s="219"/>
      <c r="C1154" s="219"/>
      <c r="D1154" s="219"/>
      <c r="E1154" s="220"/>
      <c r="F1154" s="220"/>
      <c r="G1154" s="221"/>
      <c r="H1154" s="221"/>
      <c r="I1154" s="221"/>
      <c r="J1154" s="221"/>
      <c r="K1154" s="221"/>
      <c r="L1154" s="220"/>
      <c r="M1154" s="222"/>
    </row>
    <row r="1155" spans="1:13" ht="12" customHeight="1">
      <c r="A1155" s="223"/>
      <c r="B1155" s="219"/>
      <c r="C1155" s="219"/>
      <c r="D1155" s="219"/>
      <c r="E1155" s="220"/>
      <c r="F1155" s="220"/>
      <c r="G1155" s="221"/>
      <c r="H1155" s="221"/>
      <c r="I1155" s="221"/>
      <c r="J1155" s="221"/>
      <c r="K1155" s="221"/>
      <c r="L1155" s="220"/>
      <c r="M1155" s="222"/>
    </row>
    <row r="1156" spans="1:13" ht="12" customHeight="1">
      <c r="A1156" s="223"/>
      <c r="B1156" s="219"/>
      <c r="C1156" s="219"/>
      <c r="D1156" s="219"/>
      <c r="E1156" s="220"/>
      <c r="F1156" s="220"/>
      <c r="G1156" s="221"/>
      <c r="H1156" s="221"/>
      <c r="I1156" s="221"/>
      <c r="J1156" s="221"/>
      <c r="K1156" s="221"/>
      <c r="L1156" s="220"/>
      <c r="M1156" s="222"/>
    </row>
    <row r="1157" spans="1:13" ht="12" customHeight="1">
      <c r="A1157" s="223"/>
      <c r="B1157" s="219"/>
      <c r="C1157" s="219"/>
      <c r="D1157" s="219"/>
      <c r="E1157" s="220"/>
      <c r="F1157" s="220"/>
      <c r="G1157" s="221"/>
      <c r="H1157" s="221"/>
      <c r="I1157" s="221"/>
      <c r="J1157" s="221"/>
      <c r="K1157" s="221"/>
      <c r="L1157" s="220"/>
      <c r="M1157" s="222"/>
    </row>
    <row r="1158" spans="1:13" ht="12" customHeight="1">
      <c r="A1158" s="223"/>
      <c r="B1158" s="219"/>
      <c r="C1158" s="219"/>
      <c r="D1158" s="219"/>
      <c r="E1158" s="220"/>
      <c r="F1158" s="220"/>
      <c r="G1158" s="221"/>
      <c r="H1158" s="221"/>
      <c r="I1158" s="221"/>
      <c r="J1158" s="221"/>
      <c r="K1158" s="221"/>
      <c r="L1158" s="220"/>
      <c r="M1158" s="222"/>
    </row>
    <row r="1159" spans="1:13" ht="12" customHeight="1">
      <c r="A1159" s="223"/>
      <c r="B1159" s="219"/>
      <c r="C1159" s="219"/>
      <c r="D1159" s="219"/>
      <c r="E1159" s="220"/>
      <c r="F1159" s="220"/>
      <c r="G1159" s="221"/>
      <c r="H1159" s="221"/>
      <c r="I1159" s="221"/>
      <c r="J1159" s="221"/>
      <c r="K1159" s="221"/>
      <c r="L1159" s="220"/>
      <c r="M1159" s="222"/>
    </row>
    <row r="1160" spans="1:13" ht="12" customHeight="1">
      <c r="A1160" s="223"/>
      <c r="B1160" s="219"/>
      <c r="C1160" s="219"/>
      <c r="D1160" s="219"/>
      <c r="E1160" s="220"/>
      <c r="F1160" s="220"/>
      <c r="G1160" s="221"/>
      <c r="H1160" s="221"/>
      <c r="I1160" s="221"/>
      <c r="J1160" s="221"/>
      <c r="K1160" s="221"/>
      <c r="L1160" s="220"/>
      <c r="M1160" s="222"/>
    </row>
    <row r="1161" spans="1:13" ht="12" customHeight="1">
      <c r="A1161" s="223"/>
      <c r="B1161" s="219"/>
      <c r="C1161" s="219"/>
      <c r="D1161" s="219"/>
      <c r="E1161" s="220"/>
      <c r="F1161" s="220"/>
      <c r="G1161" s="221"/>
      <c r="H1161" s="221"/>
      <c r="I1161" s="221"/>
      <c r="J1161" s="221"/>
      <c r="K1161" s="221"/>
      <c r="L1161" s="220"/>
      <c r="M1161" s="222"/>
    </row>
    <row r="1162" spans="1:13" ht="12" customHeight="1">
      <c r="A1162" s="223"/>
      <c r="B1162" s="219"/>
      <c r="C1162" s="219"/>
      <c r="D1162" s="219"/>
      <c r="E1162" s="220"/>
      <c r="F1162" s="220"/>
      <c r="G1162" s="221"/>
      <c r="H1162" s="221"/>
      <c r="I1162" s="221"/>
      <c r="J1162" s="221"/>
      <c r="K1162" s="221"/>
      <c r="L1162" s="220"/>
      <c r="M1162" s="222"/>
    </row>
    <row r="1163" spans="1:13" ht="12" customHeight="1">
      <c r="A1163" s="223"/>
      <c r="B1163" s="219"/>
      <c r="C1163" s="219"/>
      <c r="D1163" s="219"/>
      <c r="E1163" s="220"/>
      <c r="F1163" s="220"/>
      <c r="G1163" s="221"/>
      <c r="H1163" s="221"/>
      <c r="I1163" s="221"/>
      <c r="J1163" s="221"/>
      <c r="K1163" s="221"/>
      <c r="L1163" s="220"/>
      <c r="M1163" s="222"/>
    </row>
    <row r="1164" spans="1:13" ht="12" customHeight="1">
      <c r="A1164" s="223"/>
      <c r="B1164" s="219"/>
      <c r="C1164" s="219"/>
      <c r="D1164" s="219"/>
      <c r="E1164" s="220"/>
      <c r="F1164" s="220"/>
      <c r="G1164" s="221"/>
      <c r="H1164" s="221"/>
      <c r="I1164" s="221"/>
      <c r="J1164" s="221"/>
      <c r="K1164" s="221"/>
      <c r="L1164" s="220"/>
      <c r="M1164" s="222"/>
    </row>
    <row r="1165" spans="1:13" ht="12" customHeight="1">
      <c r="A1165" s="223"/>
      <c r="B1165" s="219"/>
      <c r="C1165" s="219"/>
      <c r="D1165" s="219"/>
      <c r="E1165" s="220"/>
      <c r="F1165" s="220"/>
      <c r="G1165" s="221"/>
      <c r="H1165" s="221"/>
      <c r="I1165" s="221"/>
      <c r="J1165" s="221"/>
      <c r="K1165" s="221"/>
      <c r="L1165" s="220"/>
      <c r="M1165" s="222"/>
    </row>
    <row r="1166" spans="1:13" ht="12" customHeight="1">
      <c r="A1166" s="223"/>
      <c r="B1166" s="219"/>
      <c r="C1166" s="219"/>
      <c r="D1166" s="219"/>
      <c r="E1166" s="220"/>
      <c r="F1166" s="220"/>
      <c r="G1166" s="221"/>
      <c r="H1166" s="221"/>
      <c r="I1166" s="221"/>
      <c r="J1166" s="221"/>
      <c r="K1166" s="221"/>
      <c r="L1166" s="220"/>
      <c r="M1166" s="222"/>
    </row>
    <row r="1167" spans="1:13" ht="12" customHeight="1">
      <c r="A1167" s="223"/>
      <c r="B1167" s="219"/>
      <c r="C1167" s="219"/>
      <c r="D1167" s="219"/>
      <c r="E1167" s="220"/>
      <c r="F1167" s="220"/>
      <c r="G1167" s="221"/>
      <c r="H1167" s="221"/>
      <c r="I1167" s="221"/>
      <c r="J1167" s="221"/>
      <c r="K1167" s="221"/>
      <c r="L1167" s="220"/>
      <c r="M1167" s="222"/>
    </row>
    <row r="1168" spans="1:13" ht="12" customHeight="1">
      <c r="A1168" s="223"/>
      <c r="B1168" s="219"/>
      <c r="C1168" s="219"/>
      <c r="D1168" s="219"/>
      <c r="E1168" s="220"/>
      <c r="F1168" s="220"/>
      <c r="G1168" s="221"/>
      <c r="H1168" s="221"/>
      <c r="I1168" s="221"/>
      <c r="J1168" s="221"/>
      <c r="K1168" s="221"/>
      <c r="L1168" s="220"/>
      <c r="M1168" s="222"/>
    </row>
    <row r="1169" spans="1:13" ht="12" customHeight="1">
      <c r="A1169" s="223"/>
      <c r="B1169" s="219"/>
      <c r="C1169" s="219"/>
      <c r="D1169" s="219"/>
      <c r="E1169" s="220"/>
      <c r="F1169" s="220"/>
      <c r="G1169" s="221"/>
      <c r="H1169" s="221"/>
      <c r="I1169" s="221"/>
      <c r="J1169" s="221"/>
      <c r="K1169" s="221"/>
      <c r="L1169" s="220"/>
      <c r="M1169" s="222"/>
    </row>
    <row r="1170" spans="1:13" ht="12" customHeight="1">
      <c r="A1170" s="223"/>
      <c r="B1170" s="219"/>
      <c r="C1170" s="219"/>
      <c r="D1170" s="219"/>
      <c r="E1170" s="220"/>
      <c r="F1170" s="220"/>
      <c r="G1170" s="221"/>
      <c r="H1170" s="221"/>
      <c r="I1170" s="221"/>
      <c r="J1170" s="221"/>
      <c r="K1170" s="221"/>
      <c r="L1170" s="220"/>
      <c r="M1170" s="222"/>
    </row>
    <row r="1171" spans="1:13" ht="12" customHeight="1">
      <c r="A1171" s="223"/>
      <c r="B1171" s="219"/>
      <c r="C1171" s="219"/>
      <c r="D1171" s="219"/>
      <c r="E1171" s="220"/>
      <c r="F1171" s="220"/>
      <c r="G1171" s="221"/>
      <c r="H1171" s="221"/>
      <c r="I1171" s="221"/>
      <c r="J1171" s="221"/>
      <c r="K1171" s="221"/>
      <c r="L1171" s="220"/>
      <c r="M1171" s="222"/>
    </row>
    <row r="1172" spans="1:13" ht="12" customHeight="1">
      <c r="A1172" s="223"/>
      <c r="B1172" s="219"/>
      <c r="C1172" s="219"/>
      <c r="D1172" s="219"/>
      <c r="E1172" s="220"/>
      <c r="F1172" s="220"/>
      <c r="G1172" s="221"/>
      <c r="H1172" s="221"/>
      <c r="I1172" s="221"/>
      <c r="J1172" s="221"/>
      <c r="K1172" s="221"/>
      <c r="L1172" s="220"/>
      <c r="M1172" s="222"/>
    </row>
    <row r="1173" spans="1:13" ht="12" customHeight="1">
      <c r="A1173" s="223"/>
      <c r="B1173" s="219"/>
      <c r="C1173" s="219"/>
      <c r="D1173" s="219"/>
      <c r="E1173" s="220"/>
      <c r="F1173" s="220"/>
      <c r="G1173" s="221"/>
      <c r="H1173" s="221"/>
      <c r="I1173" s="221"/>
      <c r="J1173" s="221"/>
      <c r="K1173" s="221"/>
      <c r="L1173" s="220"/>
      <c r="M1173" s="222"/>
    </row>
    <row r="1174" spans="1:13" ht="12" customHeight="1">
      <c r="A1174" s="223"/>
      <c r="B1174" s="219"/>
      <c r="C1174" s="219"/>
      <c r="D1174" s="219"/>
      <c r="E1174" s="220"/>
      <c r="F1174" s="220"/>
      <c r="G1174" s="221"/>
      <c r="H1174" s="221"/>
      <c r="I1174" s="221"/>
      <c r="J1174" s="221"/>
      <c r="K1174" s="221"/>
      <c r="L1174" s="220"/>
      <c r="M1174" s="222"/>
    </row>
    <row r="1175" spans="1:13" ht="12" customHeight="1">
      <c r="A1175" s="223"/>
      <c r="B1175" s="219"/>
      <c r="C1175" s="219"/>
      <c r="D1175" s="219"/>
      <c r="E1175" s="220"/>
      <c r="F1175" s="220"/>
      <c r="G1175" s="221"/>
      <c r="H1175" s="221"/>
      <c r="I1175" s="221"/>
      <c r="J1175" s="221"/>
      <c r="K1175" s="221"/>
      <c r="L1175" s="220"/>
      <c r="M1175" s="222"/>
    </row>
    <row r="1176" spans="1:13" ht="12" customHeight="1">
      <c r="A1176" s="223"/>
      <c r="B1176" s="219"/>
      <c r="C1176" s="219"/>
      <c r="D1176" s="219"/>
      <c r="E1176" s="220"/>
      <c r="F1176" s="220"/>
      <c r="G1176" s="221"/>
      <c r="H1176" s="221"/>
      <c r="I1176" s="221"/>
      <c r="J1176" s="221"/>
      <c r="K1176" s="221"/>
      <c r="L1176" s="220"/>
      <c r="M1176" s="222"/>
    </row>
    <row r="1177" spans="1:13" ht="12" customHeight="1">
      <c r="A1177" s="223"/>
      <c r="B1177" s="219"/>
      <c r="C1177" s="219"/>
      <c r="D1177" s="219"/>
      <c r="E1177" s="220"/>
      <c r="F1177" s="220"/>
      <c r="G1177" s="221"/>
      <c r="H1177" s="221"/>
      <c r="I1177" s="221"/>
      <c r="J1177" s="221"/>
      <c r="K1177" s="221"/>
      <c r="L1177" s="220"/>
      <c r="M1177" s="222"/>
    </row>
    <row r="1178" spans="1:13" ht="12" customHeight="1">
      <c r="A1178" s="223"/>
      <c r="B1178" s="219"/>
      <c r="C1178" s="219"/>
      <c r="D1178" s="219"/>
      <c r="E1178" s="220"/>
      <c r="F1178" s="220"/>
      <c r="G1178" s="221"/>
      <c r="H1178" s="221"/>
      <c r="I1178" s="221"/>
      <c r="J1178" s="221"/>
      <c r="K1178" s="221"/>
      <c r="L1178" s="220"/>
      <c r="M1178" s="222"/>
    </row>
    <row r="1179" spans="1:13" ht="12" customHeight="1">
      <c r="A1179" s="223"/>
      <c r="B1179" s="219"/>
      <c r="C1179" s="219"/>
      <c r="D1179" s="219"/>
      <c r="E1179" s="220"/>
      <c r="F1179" s="220"/>
      <c r="G1179" s="221"/>
      <c r="H1179" s="221"/>
      <c r="I1179" s="221"/>
      <c r="J1179" s="221"/>
      <c r="K1179" s="221"/>
      <c r="L1179" s="220"/>
      <c r="M1179" s="222"/>
    </row>
    <row r="1180" spans="1:13" ht="12" customHeight="1">
      <c r="A1180" s="223"/>
      <c r="B1180" s="219"/>
      <c r="C1180" s="219"/>
      <c r="D1180" s="219"/>
      <c r="E1180" s="220"/>
      <c r="F1180" s="220"/>
      <c r="G1180" s="221"/>
      <c r="H1180" s="221"/>
      <c r="I1180" s="221"/>
      <c r="J1180" s="221"/>
      <c r="K1180" s="221"/>
      <c r="L1180" s="220"/>
      <c r="M1180" s="222"/>
    </row>
    <row r="1181" spans="1:13" ht="12" customHeight="1">
      <c r="A1181" s="223"/>
      <c r="B1181" s="219"/>
      <c r="C1181" s="219"/>
      <c r="D1181" s="219"/>
      <c r="E1181" s="220"/>
      <c r="F1181" s="220"/>
      <c r="G1181" s="221"/>
      <c r="H1181" s="221"/>
      <c r="I1181" s="221"/>
      <c r="J1181" s="221"/>
      <c r="K1181" s="221"/>
      <c r="L1181" s="220"/>
      <c r="M1181" s="222"/>
    </row>
    <row r="1182" spans="1:13" ht="12" customHeight="1">
      <c r="A1182" s="223"/>
      <c r="B1182" s="219"/>
      <c r="C1182" s="219"/>
      <c r="D1182" s="219"/>
      <c r="E1182" s="220"/>
      <c r="F1182" s="220"/>
      <c r="G1182" s="221"/>
      <c r="H1182" s="221"/>
      <c r="I1182" s="221"/>
      <c r="J1182" s="221"/>
      <c r="K1182" s="221"/>
      <c r="L1182" s="220"/>
      <c r="M1182" s="222"/>
    </row>
    <row r="1183" spans="1:13" ht="12" customHeight="1">
      <c r="A1183" s="223"/>
      <c r="B1183" s="219"/>
      <c r="C1183" s="219"/>
      <c r="D1183" s="219"/>
      <c r="E1183" s="220"/>
      <c r="F1183" s="220"/>
      <c r="G1183" s="221"/>
      <c r="H1183" s="221"/>
      <c r="I1183" s="221"/>
      <c r="J1183" s="221"/>
      <c r="K1183" s="221"/>
      <c r="L1183" s="220"/>
      <c r="M1183" s="222"/>
    </row>
    <row r="1184" spans="1:13" ht="12" customHeight="1">
      <c r="A1184" s="223"/>
      <c r="B1184" s="219"/>
      <c r="C1184" s="219"/>
      <c r="D1184" s="219"/>
      <c r="E1184" s="220"/>
      <c r="F1184" s="220"/>
      <c r="G1184" s="221"/>
      <c r="H1184" s="221"/>
      <c r="I1184" s="221"/>
      <c r="J1184" s="221"/>
      <c r="K1184" s="221"/>
      <c r="L1184" s="220"/>
      <c r="M1184" s="222"/>
    </row>
    <row r="1185" spans="1:13" ht="12" customHeight="1">
      <c r="A1185" s="223"/>
      <c r="B1185" s="219"/>
      <c r="C1185" s="219"/>
      <c r="D1185" s="219"/>
      <c r="E1185" s="220"/>
      <c r="F1185" s="220"/>
      <c r="G1185" s="221"/>
      <c r="H1185" s="221"/>
      <c r="I1185" s="221"/>
      <c r="J1185" s="221"/>
      <c r="K1185" s="221"/>
      <c r="L1185" s="220"/>
      <c r="M1185" s="222"/>
    </row>
    <row r="1186" spans="1:13" ht="12" customHeight="1">
      <c r="A1186" s="223"/>
      <c r="B1186" s="219"/>
      <c r="C1186" s="219"/>
      <c r="D1186" s="219"/>
      <c r="E1186" s="220"/>
      <c r="F1186" s="220"/>
      <c r="G1186" s="221"/>
      <c r="H1186" s="221"/>
      <c r="I1186" s="221"/>
      <c r="J1186" s="221"/>
      <c r="K1186" s="221"/>
      <c r="L1186" s="220"/>
      <c r="M1186" s="222"/>
    </row>
    <row r="1187" spans="1:13" ht="12" customHeight="1">
      <c r="A1187" s="223"/>
      <c r="B1187" s="219"/>
      <c r="C1187" s="219"/>
      <c r="D1187" s="219"/>
      <c r="E1187" s="220"/>
      <c r="F1187" s="220"/>
      <c r="G1187" s="221"/>
      <c r="H1187" s="221"/>
      <c r="I1187" s="221"/>
      <c r="J1187" s="221"/>
      <c r="K1187" s="221"/>
      <c r="L1187" s="220"/>
      <c r="M1187" s="222"/>
    </row>
    <row r="1188" spans="1:13" ht="12" customHeight="1">
      <c r="A1188" s="223"/>
      <c r="B1188" s="219"/>
      <c r="C1188" s="219"/>
      <c r="D1188" s="219"/>
      <c r="E1188" s="220"/>
      <c r="F1188" s="220"/>
      <c r="G1188" s="221"/>
      <c r="H1188" s="221"/>
      <c r="I1188" s="221"/>
      <c r="J1188" s="221"/>
      <c r="K1188" s="221"/>
      <c r="L1188" s="220"/>
      <c r="M1188" s="222"/>
    </row>
    <row r="1189" spans="1:13" ht="12" customHeight="1">
      <c r="A1189" s="223"/>
      <c r="B1189" s="219"/>
      <c r="C1189" s="219"/>
      <c r="D1189" s="219"/>
      <c r="E1189" s="220"/>
      <c r="F1189" s="220"/>
      <c r="G1189" s="221"/>
      <c r="H1189" s="221"/>
      <c r="I1189" s="221"/>
      <c r="J1189" s="221"/>
      <c r="K1189" s="221"/>
      <c r="L1189" s="220"/>
      <c r="M1189" s="222"/>
    </row>
    <row r="1190" spans="1:13" ht="12" customHeight="1">
      <c r="A1190" s="223"/>
      <c r="B1190" s="219"/>
      <c r="C1190" s="219"/>
      <c r="D1190" s="219"/>
      <c r="E1190" s="220"/>
      <c r="F1190" s="220"/>
      <c r="G1190" s="221"/>
      <c r="H1190" s="221"/>
      <c r="I1190" s="221"/>
      <c r="J1190" s="221"/>
      <c r="K1190" s="221"/>
      <c r="L1190" s="220"/>
      <c r="M1190" s="222"/>
    </row>
    <row r="1191" spans="1:13" ht="12" customHeight="1">
      <c r="A1191" s="223"/>
      <c r="B1191" s="219"/>
      <c r="C1191" s="219"/>
      <c r="D1191" s="219"/>
      <c r="E1191" s="220"/>
      <c r="F1191" s="220"/>
      <c r="G1191" s="221"/>
      <c r="H1191" s="221"/>
      <c r="I1191" s="221"/>
      <c r="J1191" s="221"/>
      <c r="K1191" s="221"/>
      <c r="L1191" s="220"/>
      <c r="M1191" s="222"/>
    </row>
    <row r="1192" spans="1:13" ht="12" customHeight="1">
      <c r="A1192" s="223"/>
      <c r="B1192" s="219"/>
      <c r="C1192" s="219"/>
      <c r="D1192" s="219"/>
      <c r="E1192" s="220"/>
      <c r="F1192" s="220"/>
      <c r="G1192" s="221"/>
      <c r="H1192" s="221"/>
      <c r="I1192" s="221"/>
      <c r="J1192" s="221"/>
      <c r="K1192" s="221"/>
      <c r="L1192" s="220"/>
      <c r="M1192" s="222"/>
    </row>
    <row r="1193" spans="1:13" ht="12" customHeight="1">
      <c r="A1193" s="223"/>
      <c r="B1193" s="219"/>
      <c r="C1193" s="219"/>
      <c r="D1193" s="219"/>
      <c r="E1193" s="220"/>
      <c r="F1193" s="220"/>
      <c r="G1193" s="221"/>
      <c r="H1193" s="221"/>
      <c r="I1193" s="221"/>
      <c r="J1193" s="221"/>
      <c r="K1193" s="221"/>
      <c r="L1193" s="220"/>
      <c r="M1193" s="222"/>
    </row>
    <row r="1194" spans="1:13" ht="12" customHeight="1">
      <c r="A1194" s="223"/>
      <c r="B1194" s="219"/>
      <c r="C1194" s="219"/>
      <c r="D1194" s="219"/>
      <c r="E1194" s="220"/>
      <c r="F1194" s="220"/>
      <c r="G1194" s="221"/>
      <c r="H1194" s="221"/>
      <c r="I1194" s="221"/>
      <c r="J1194" s="221"/>
      <c r="K1194" s="221"/>
      <c r="L1194" s="220"/>
      <c r="M1194" s="222"/>
    </row>
    <row r="1195" spans="1:13" ht="12" customHeight="1">
      <c r="A1195" s="223"/>
      <c r="B1195" s="219"/>
      <c r="C1195" s="219"/>
      <c r="D1195" s="219"/>
      <c r="E1195" s="220"/>
      <c r="F1195" s="220"/>
      <c r="G1195" s="221"/>
      <c r="H1195" s="221"/>
      <c r="I1195" s="221"/>
      <c r="J1195" s="221"/>
      <c r="K1195" s="221"/>
      <c r="L1195" s="220"/>
      <c r="M1195" s="222"/>
    </row>
    <row r="1196" spans="1:13" ht="12" customHeight="1">
      <c r="A1196" s="223"/>
      <c r="B1196" s="219"/>
      <c r="C1196" s="219"/>
      <c r="D1196" s="219"/>
      <c r="E1196" s="220"/>
      <c r="F1196" s="220"/>
      <c r="G1196" s="221"/>
      <c r="H1196" s="221"/>
      <c r="I1196" s="221"/>
      <c r="J1196" s="221"/>
      <c r="K1196" s="221"/>
      <c r="L1196" s="220"/>
      <c r="M1196" s="222"/>
    </row>
    <row r="1197" spans="1:13" ht="12" customHeight="1">
      <c r="A1197" s="223"/>
      <c r="B1197" s="219"/>
      <c r="C1197" s="219"/>
      <c r="D1197" s="219"/>
      <c r="E1197" s="220"/>
      <c r="F1197" s="220"/>
      <c r="G1197" s="221"/>
      <c r="H1197" s="221"/>
      <c r="I1197" s="221"/>
      <c r="J1197" s="221"/>
      <c r="K1197" s="221"/>
      <c r="L1197" s="220"/>
      <c r="M1197" s="222"/>
    </row>
    <row r="1198" spans="1:13" ht="12" customHeight="1">
      <c r="A1198" s="223"/>
      <c r="B1198" s="219"/>
      <c r="C1198" s="219"/>
      <c r="D1198" s="219"/>
      <c r="E1198" s="220"/>
      <c r="F1198" s="220"/>
      <c r="G1198" s="221"/>
      <c r="H1198" s="221"/>
      <c r="I1198" s="221"/>
      <c r="J1198" s="221"/>
      <c r="K1198" s="221"/>
      <c r="L1198" s="220"/>
      <c r="M1198" s="222"/>
    </row>
    <row r="1199" spans="1:13" ht="12" customHeight="1">
      <c r="A1199" s="223"/>
      <c r="B1199" s="219"/>
      <c r="C1199" s="219"/>
      <c r="D1199" s="219"/>
      <c r="E1199" s="220"/>
      <c r="F1199" s="220"/>
      <c r="G1199" s="221"/>
      <c r="H1199" s="221"/>
      <c r="I1199" s="221"/>
      <c r="J1199" s="221"/>
      <c r="K1199" s="221"/>
      <c r="L1199" s="220"/>
      <c r="M1199" s="222"/>
    </row>
    <row r="1200" spans="1:13" ht="12" customHeight="1">
      <c r="A1200" s="223"/>
      <c r="B1200" s="219"/>
      <c r="C1200" s="219"/>
      <c r="D1200" s="219"/>
      <c r="E1200" s="220"/>
      <c r="F1200" s="220"/>
      <c r="G1200" s="221"/>
      <c r="H1200" s="221"/>
      <c r="I1200" s="221"/>
      <c r="J1200" s="221"/>
      <c r="K1200" s="221"/>
      <c r="L1200" s="220"/>
      <c r="M1200" s="222"/>
    </row>
    <row r="1201" spans="1:13" ht="12" customHeight="1">
      <c r="A1201" s="223"/>
      <c r="B1201" s="219"/>
      <c r="C1201" s="219"/>
      <c r="D1201" s="219"/>
      <c r="E1201" s="220"/>
      <c r="F1201" s="220"/>
      <c r="G1201" s="221"/>
      <c r="H1201" s="221"/>
      <c r="I1201" s="221"/>
      <c r="J1201" s="221"/>
      <c r="K1201" s="221"/>
      <c r="L1201" s="220"/>
      <c r="M1201" s="222"/>
    </row>
    <row r="1202" spans="1:13" ht="12" customHeight="1">
      <c r="A1202" s="223"/>
      <c r="B1202" s="219"/>
      <c r="C1202" s="219"/>
      <c r="D1202" s="219"/>
      <c r="E1202" s="220"/>
      <c r="F1202" s="220"/>
      <c r="G1202" s="221"/>
      <c r="H1202" s="221"/>
      <c r="I1202" s="221"/>
      <c r="J1202" s="221"/>
      <c r="K1202" s="221"/>
      <c r="L1202" s="220"/>
      <c r="M1202" s="222"/>
    </row>
    <row r="1203" spans="1:13" ht="12" customHeight="1">
      <c r="A1203" s="223"/>
      <c r="B1203" s="219"/>
      <c r="C1203" s="219"/>
      <c r="D1203" s="219"/>
      <c r="E1203" s="220"/>
      <c r="F1203" s="220"/>
      <c r="G1203" s="221"/>
      <c r="H1203" s="221"/>
      <c r="I1203" s="221"/>
      <c r="J1203" s="221"/>
      <c r="K1203" s="221"/>
      <c r="L1203" s="220"/>
      <c r="M1203" s="222"/>
    </row>
    <row r="1204" spans="1:13" ht="12" customHeight="1">
      <c r="A1204" s="223"/>
      <c r="B1204" s="219"/>
      <c r="C1204" s="219"/>
      <c r="D1204" s="219"/>
      <c r="E1204" s="220"/>
      <c r="F1204" s="220"/>
      <c r="G1204" s="221"/>
      <c r="H1204" s="221"/>
      <c r="I1204" s="221"/>
      <c r="J1204" s="221"/>
      <c r="K1204" s="221"/>
      <c r="L1204" s="220"/>
      <c r="M1204" s="222"/>
    </row>
    <row r="1205" spans="1:13" ht="12" customHeight="1">
      <c r="A1205" s="223"/>
      <c r="B1205" s="219"/>
      <c r="C1205" s="219"/>
      <c r="D1205" s="219"/>
      <c r="E1205" s="220"/>
      <c r="F1205" s="220"/>
      <c r="G1205" s="221"/>
      <c r="H1205" s="221"/>
      <c r="I1205" s="221"/>
      <c r="J1205" s="221"/>
      <c r="K1205" s="221"/>
      <c r="L1205" s="220"/>
      <c r="M1205" s="222"/>
    </row>
    <row r="1206" spans="1:13" ht="12" customHeight="1">
      <c r="A1206" s="223"/>
      <c r="B1206" s="219"/>
      <c r="C1206" s="219"/>
      <c r="D1206" s="219"/>
      <c r="E1206" s="220"/>
      <c r="F1206" s="220"/>
      <c r="G1206" s="221"/>
      <c r="H1206" s="221"/>
      <c r="I1206" s="221"/>
      <c r="J1206" s="221"/>
      <c r="K1206" s="221"/>
      <c r="L1206" s="220"/>
      <c r="M1206" s="222"/>
    </row>
  </sheetData>
  <mergeCells count="235">
    <mergeCell ref="A3:C4"/>
    <mergeCell ref="D3:D4"/>
    <mergeCell ref="E3:E4"/>
    <mergeCell ref="F3:G3"/>
    <mergeCell ref="H3:H4"/>
    <mergeCell ref="I3:I4"/>
    <mergeCell ref="F11:I11"/>
    <mergeCell ref="A12:C12"/>
    <mergeCell ref="A13:F13"/>
    <mergeCell ref="L28:T29"/>
    <mergeCell ref="A31:J31"/>
    <mergeCell ref="A22:A27"/>
    <mergeCell ref="A15:A17"/>
    <mergeCell ref="A18:G18"/>
    <mergeCell ref="A20:H20"/>
    <mergeCell ref="A5:C5"/>
    <mergeCell ref="H5:H10"/>
    <mergeCell ref="A6:C6"/>
    <mergeCell ref="A7:C7"/>
    <mergeCell ref="A8:C8"/>
    <mergeCell ref="A10:D10"/>
    <mergeCell ref="A9:C9"/>
    <mergeCell ref="B22:B23"/>
    <mergeCell ref="I22:I23"/>
    <mergeCell ref="J22:J23"/>
    <mergeCell ref="C23:F23"/>
    <mergeCell ref="A28:I28"/>
    <mergeCell ref="J52:J53"/>
    <mergeCell ref="C53:F53"/>
    <mergeCell ref="J48:J49"/>
    <mergeCell ref="C49:F49"/>
    <mergeCell ref="B50:B51"/>
    <mergeCell ref="I50:I51"/>
    <mergeCell ref="J50:J51"/>
    <mergeCell ref="C51:F51"/>
    <mergeCell ref="A42:A43"/>
    <mergeCell ref="A44:G44"/>
    <mergeCell ref="A46:H46"/>
    <mergeCell ref="A48:A53"/>
    <mergeCell ref="B48:B49"/>
    <mergeCell ref="I48:I49"/>
    <mergeCell ref="B52:B53"/>
    <mergeCell ref="I52:I53"/>
    <mergeCell ref="A35:K35"/>
    <mergeCell ref="A39:C39"/>
    <mergeCell ref="A40:F40"/>
    <mergeCell ref="A33:A34"/>
    <mergeCell ref="B33:B34"/>
    <mergeCell ref="I33:I34"/>
    <mergeCell ref="J33:J34"/>
    <mergeCell ref="K33:K34"/>
    <mergeCell ref="C34:F34"/>
    <mergeCell ref="A57:J57"/>
    <mergeCell ref="A59:A60"/>
    <mergeCell ref="B59:B60"/>
    <mergeCell ref="I59:I60"/>
    <mergeCell ref="J59:J60"/>
    <mergeCell ref="K59:K60"/>
    <mergeCell ref="L59:L60"/>
    <mergeCell ref="C60:F60"/>
    <mergeCell ref="A54:I54"/>
    <mergeCell ref="L54:T55"/>
    <mergeCell ref="A78:H78"/>
    <mergeCell ref="A80:A81"/>
    <mergeCell ref="B80:B81"/>
    <mergeCell ref="J80:J81"/>
    <mergeCell ref="C81:F81"/>
    <mergeCell ref="A61:K61"/>
    <mergeCell ref="A65:C65"/>
    <mergeCell ref="A66:F66"/>
    <mergeCell ref="A68:A75"/>
    <mergeCell ref="A76:G76"/>
    <mergeCell ref="A82:I82"/>
    <mergeCell ref="L82:T83"/>
    <mergeCell ref="A85:J85"/>
    <mergeCell ref="A87:A88"/>
    <mergeCell ref="B87:B88"/>
    <mergeCell ref="I87:I88"/>
    <mergeCell ref="J87:J88"/>
    <mergeCell ref="K87:K88"/>
    <mergeCell ref="L87:L88"/>
    <mergeCell ref="C88:F88"/>
    <mergeCell ref="A110:A158"/>
    <mergeCell ref="B110:B116"/>
    <mergeCell ref="J110:J116"/>
    <mergeCell ref="C116:F116"/>
    <mergeCell ref="B117:B123"/>
    <mergeCell ref="J117:J123"/>
    <mergeCell ref="C123:F123"/>
    <mergeCell ref="B152:B158"/>
    <mergeCell ref="J152:J158"/>
    <mergeCell ref="C158:F158"/>
    <mergeCell ref="L159:T160"/>
    <mergeCell ref="B138:B144"/>
    <mergeCell ref="J138:J144"/>
    <mergeCell ref="C144:F144"/>
    <mergeCell ref="B145:B151"/>
    <mergeCell ref="J145:J151"/>
    <mergeCell ref="C151:F151"/>
    <mergeCell ref="B124:B130"/>
    <mergeCell ref="J124:J130"/>
    <mergeCell ref="C130:F130"/>
    <mergeCell ref="B131:B137"/>
    <mergeCell ref="J131:J137"/>
    <mergeCell ref="C137:F137"/>
    <mergeCell ref="L164:L169"/>
    <mergeCell ref="C169:F169"/>
    <mergeCell ref="B170:B175"/>
    <mergeCell ref="D170:D174"/>
    <mergeCell ref="E170:E174"/>
    <mergeCell ref="I170:I175"/>
    <mergeCell ref="J170:J175"/>
    <mergeCell ref="K170:K175"/>
    <mergeCell ref="L170:L175"/>
    <mergeCell ref="B164:B169"/>
    <mergeCell ref="D164:D168"/>
    <mergeCell ref="E164:E168"/>
    <mergeCell ref="I164:I169"/>
    <mergeCell ref="J164:J169"/>
    <mergeCell ref="C175:F175"/>
    <mergeCell ref="B244:B250"/>
    <mergeCell ref="J244:J250"/>
    <mergeCell ref="C250:F250"/>
    <mergeCell ref="L176:L181"/>
    <mergeCell ref="C181:F181"/>
    <mergeCell ref="B182:B187"/>
    <mergeCell ref="D182:D186"/>
    <mergeCell ref="E182:E186"/>
    <mergeCell ref="I182:I187"/>
    <mergeCell ref="J182:J187"/>
    <mergeCell ref="B176:B181"/>
    <mergeCell ref="D176:D180"/>
    <mergeCell ref="E176:E180"/>
    <mergeCell ref="L182:L187"/>
    <mergeCell ref="C187:F187"/>
    <mergeCell ref="A194:K194"/>
    <mergeCell ref="J3:J4"/>
    <mergeCell ref="J5:J10"/>
    <mergeCell ref="C193:F193"/>
    <mergeCell ref="K182:K187"/>
    <mergeCell ref="A164:A193"/>
    <mergeCell ref="I176:I181"/>
    <mergeCell ref="J176:J181"/>
    <mergeCell ref="K176:K181"/>
    <mergeCell ref="K164:K169"/>
    <mergeCell ref="A159:I159"/>
    <mergeCell ref="A96:A105"/>
    <mergeCell ref="A106:G106"/>
    <mergeCell ref="A108:H108"/>
    <mergeCell ref="A89:K89"/>
    <mergeCell ref="A93:C93"/>
    <mergeCell ref="A94:F94"/>
    <mergeCell ref="K23:S23"/>
    <mergeCell ref="B188:B193"/>
    <mergeCell ref="D188:D192"/>
    <mergeCell ref="E188:E192"/>
    <mergeCell ref="I188:I193"/>
    <mergeCell ref="J188:J193"/>
    <mergeCell ref="K188:K193"/>
    <mergeCell ref="L188:L193"/>
    <mergeCell ref="L270:L275"/>
    <mergeCell ref="K276:K281"/>
    <mergeCell ref="L276:L281"/>
    <mergeCell ref="C281:F281"/>
    <mergeCell ref="B282:B287"/>
    <mergeCell ref="A202:A211"/>
    <mergeCell ref="A212:G212"/>
    <mergeCell ref="A214:H214"/>
    <mergeCell ref="A216:A264"/>
    <mergeCell ref="B216:B222"/>
    <mergeCell ref="J216:J222"/>
    <mergeCell ref="C222:F222"/>
    <mergeCell ref="B223:B229"/>
    <mergeCell ref="J223:J229"/>
    <mergeCell ref="C229:F229"/>
    <mergeCell ref="B230:B236"/>
    <mergeCell ref="J230:J236"/>
    <mergeCell ref="C236:F236"/>
    <mergeCell ref="B237:B243"/>
    <mergeCell ref="J237:J243"/>
    <mergeCell ref="B251:B257"/>
    <mergeCell ref="J251:J257"/>
    <mergeCell ref="C257:F257"/>
    <mergeCell ref="C243:F243"/>
    <mergeCell ref="L282:L287"/>
    <mergeCell ref="C287:F287"/>
    <mergeCell ref="B288:B293"/>
    <mergeCell ref="D288:D292"/>
    <mergeCell ref="E288:E292"/>
    <mergeCell ref="I288:I293"/>
    <mergeCell ref="J288:J293"/>
    <mergeCell ref="K288:K293"/>
    <mergeCell ref="L288:L293"/>
    <mergeCell ref="C293:F293"/>
    <mergeCell ref="D276:D280"/>
    <mergeCell ref="E276:E280"/>
    <mergeCell ref="I276:I281"/>
    <mergeCell ref="J276:J281"/>
    <mergeCell ref="A300:K300"/>
    <mergeCell ref="D282:D286"/>
    <mergeCell ref="E282:E286"/>
    <mergeCell ref="I282:I287"/>
    <mergeCell ref="J282:J287"/>
    <mergeCell ref="K282:K287"/>
    <mergeCell ref="A270:A299"/>
    <mergeCell ref="B270:B275"/>
    <mergeCell ref="D270:D274"/>
    <mergeCell ref="E270:E274"/>
    <mergeCell ref="I270:I275"/>
    <mergeCell ref="J270:J275"/>
    <mergeCell ref="K270:K275"/>
    <mergeCell ref="A162:J162"/>
    <mergeCell ref="A200:F200"/>
    <mergeCell ref="A199:C199"/>
    <mergeCell ref="B24:B27"/>
    <mergeCell ref="I24:I27"/>
    <mergeCell ref="J24:J27"/>
    <mergeCell ref="C27:F27"/>
    <mergeCell ref="L33:L34"/>
    <mergeCell ref="B294:B299"/>
    <mergeCell ref="D294:D298"/>
    <mergeCell ref="E294:E298"/>
    <mergeCell ref="I294:I299"/>
    <mergeCell ref="J294:J299"/>
    <mergeCell ref="K294:K299"/>
    <mergeCell ref="L294:L299"/>
    <mergeCell ref="C299:F299"/>
    <mergeCell ref="B258:B264"/>
    <mergeCell ref="J258:J264"/>
    <mergeCell ref="C264:F264"/>
    <mergeCell ref="A265:I265"/>
    <mergeCell ref="L265:T266"/>
    <mergeCell ref="A268:J268"/>
    <mergeCell ref="C275:F275"/>
    <mergeCell ref="B276:B28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27" orientation="landscape" horizontalDpi="1200" verticalDpi="1200" r:id="rId1"/>
  <rowBreaks count="5" manualBreakCount="5">
    <brk id="18" max="16383" man="1"/>
    <brk id="28" max="11" man="1"/>
    <brk id="55" max="11" man="1"/>
    <brk id="83" max="11" man="1"/>
    <brk id="160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pageSetUpPr fitToPage="1"/>
  </sheetPr>
  <dimension ref="A1:IV365"/>
  <sheetViews>
    <sheetView showGridLines="0" view="pageBreakPreview" topLeftCell="A233" zoomScale="85" zoomScaleNormal="85" zoomScaleSheetLayoutView="85" workbookViewId="0">
      <selection activeCell="M23" sqref="M23"/>
    </sheetView>
  </sheetViews>
  <sheetFormatPr defaultRowHeight="16.5"/>
  <cols>
    <col min="1" max="1" width="27.375" style="156" customWidth="1"/>
    <col min="2" max="2" width="14.25" style="156" customWidth="1"/>
    <col min="3" max="4" width="18.875" style="156" customWidth="1"/>
    <col min="5" max="5" width="35.5" style="156" customWidth="1"/>
    <col min="6" max="7" width="13" style="156" customWidth="1"/>
    <col min="8" max="9" width="13.5" style="156" customWidth="1"/>
    <col min="10" max="10" width="8.5" style="156" customWidth="1"/>
    <col min="11" max="11" width="7.875" style="287" customWidth="1"/>
    <col min="12" max="12" width="13.625" style="288" customWidth="1"/>
    <col min="13" max="13" width="19.125" style="284" customWidth="1"/>
    <col min="14" max="14" width="17.875" style="285" customWidth="1"/>
    <col min="15" max="15" width="13.125" style="156" bestFit="1" customWidth="1"/>
    <col min="16" max="17" width="9" style="280"/>
    <col min="18" max="18" width="11.125" style="280" customWidth="1"/>
    <col min="19" max="19" width="19.25" style="280" customWidth="1"/>
    <col min="20" max="20" width="12.5" style="280" bestFit="1" customWidth="1"/>
    <col min="21" max="21" width="13.125" style="156" bestFit="1" customWidth="1"/>
    <col min="22" max="22" width="11.25" style="156" bestFit="1" customWidth="1"/>
    <col min="23" max="23" width="22.25" style="156" customWidth="1"/>
    <col min="24" max="256" width="9" style="156"/>
    <col min="257" max="257" width="27.375" style="156" customWidth="1"/>
    <col min="258" max="258" width="9.25" style="156" customWidth="1"/>
    <col min="259" max="259" width="8.5" style="156" customWidth="1"/>
    <col min="260" max="261" width="9.75" style="156" customWidth="1"/>
    <col min="262" max="262" width="12" style="156" customWidth="1"/>
    <col min="263" max="263" width="11.625" style="156" customWidth="1"/>
    <col min="264" max="264" width="11.875" style="156" customWidth="1"/>
    <col min="265" max="265" width="11.625" style="156" customWidth="1"/>
    <col min="266" max="266" width="8.5" style="156" customWidth="1"/>
    <col min="267" max="267" width="7.875" style="156" customWidth="1"/>
    <col min="268" max="268" width="13.625" style="156" customWidth="1"/>
    <col min="269" max="269" width="19.125" style="156" customWidth="1"/>
    <col min="270" max="270" width="17.875" style="156" customWidth="1"/>
    <col min="271" max="271" width="13.125" style="156" bestFit="1" customWidth="1"/>
    <col min="272" max="273" width="9" style="156"/>
    <col min="274" max="275" width="11.125" style="156" customWidth="1"/>
    <col min="276" max="276" width="12.5" style="156" bestFit="1" customWidth="1"/>
    <col min="277" max="512" width="9" style="156"/>
    <col min="513" max="513" width="27.375" style="156" customWidth="1"/>
    <col min="514" max="514" width="9.25" style="156" customWidth="1"/>
    <col min="515" max="515" width="8.5" style="156" customWidth="1"/>
    <col min="516" max="517" width="9.75" style="156" customWidth="1"/>
    <col min="518" max="518" width="12" style="156" customWidth="1"/>
    <col min="519" max="519" width="11.625" style="156" customWidth="1"/>
    <col min="520" max="520" width="11.875" style="156" customWidth="1"/>
    <col min="521" max="521" width="11.625" style="156" customWidth="1"/>
    <col min="522" max="522" width="8.5" style="156" customWidth="1"/>
    <col min="523" max="523" width="7.875" style="156" customWidth="1"/>
    <col min="524" max="524" width="13.625" style="156" customWidth="1"/>
    <col min="525" max="525" width="19.125" style="156" customWidth="1"/>
    <col min="526" max="526" width="17.875" style="156" customWidth="1"/>
    <col min="527" max="527" width="13.125" style="156" bestFit="1" customWidth="1"/>
    <col min="528" max="529" width="9" style="156"/>
    <col min="530" max="531" width="11.125" style="156" customWidth="1"/>
    <col min="532" max="532" width="12.5" style="156" bestFit="1" customWidth="1"/>
    <col min="533" max="768" width="9" style="156"/>
    <col min="769" max="769" width="27.375" style="156" customWidth="1"/>
    <col min="770" max="770" width="9.25" style="156" customWidth="1"/>
    <col min="771" max="771" width="8.5" style="156" customWidth="1"/>
    <col min="772" max="773" width="9.75" style="156" customWidth="1"/>
    <col min="774" max="774" width="12" style="156" customWidth="1"/>
    <col min="775" max="775" width="11.625" style="156" customWidth="1"/>
    <col min="776" max="776" width="11.875" style="156" customWidth="1"/>
    <col min="777" max="777" width="11.625" style="156" customWidth="1"/>
    <col min="778" max="778" width="8.5" style="156" customWidth="1"/>
    <col min="779" max="779" width="7.875" style="156" customWidth="1"/>
    <col min="780" max="780" width="13.625" style="156" customWidth="1"/>
    <col min="781" max="781" width="19.125" style="156" customWidth="1"/>
    <col min="782" max="782" width="17.875" style="156" customWidth="1"/>
    <col min="783" max="783" width="13.125" style="156" bestFit="1" customWidth="1"/>
    <col min="784" max="785" width="9" style="156"/>
    <col min="786" max="787" width="11.125" style="156" customWidth="1"/>
    <col min="788" max="788" width="12.5" style="156" bestFit="1" customWidth="1"/>
    <col min="789" max="1024" width="9" style="156"/>
    <col min="1025" max="1025" width="27.375" style="156" customWidth="1"/>
    <col min="1026" max="1026" width="9.25" style="156" customWidth="1"/>
    <col min="1027" max="1027" width="8.5" style="156" customWidth="1"/>
    <col min="1028" max="1029" width="9.75" style="156" customWidth="1"/>
    <col min="1030" max="1030" width="12" style="156" customWidth="1"/>
    <col min="1031" max="1031" width="11.625" style="156" customWidth="1"/>
    <col min="1032" max="1032" width="11.875" style="156" customWidth="1"/>
    <col min="1033" max="1033" width="11.625" style="156" customWidth="1"/>
    <col min="1034" max="1034" width="8.5" style="156" customWidth="1"/>
    <col min="1035" max="1035" width="7.875" style="156" customWidth="1"/>
    <col min="1036" max="1036" width="13.625" style="156" customWidth="1"/>
    <col min="1037" max="1037" width="19.125" style="156" customWidth="1"/>
    <col min="1038" max="1038" width="17.875" style="156" customWidth="1"/>
    <col min="1039" max="1039" width="13.125" style="156" bestFit="1" customWidth="1"/>
    <col min="1040" max="1041" width="9" style="156"/>
    <col min="1042" max="1043" width="11.125" style="156" customWidth="1"/>
    <col min="1044" max="1044" width="12.5" style="156" bestFit="1" customWidth="1"/>
    <col min="1045" max="1280" width="9" style="156"/>
    <col min="1281" max="1281" width="27.375" style="156" customWidth="1"/>
    <col min="1282" max="1282" width="9.25" style="156" customWidth="1"/>
    <col min="1283" max="1283" width="8.5" style="156" customWidth="1"/>
    <col min="1284" max="1285" width="9.75" style="156" customWidth="1"/>
    <col min="1286" max="1286" width="12" style="156" customWidth="1"/>
    <col min="1287" max="1287" width="11.625" style="156" customWidth="1"/>
    <col min="1288" max="1288" width="11.875" style="156" customWidth="1"/>
    <col min="1289" max="1289" width="11.625" style="156" customWidth="1"/>
    <col min="1290" max="1290" width="8.5" style="156" customWidth="1"/>
    <col min="1291" max="1291" width="7.875" style="156" customWidth="1"/>
    <col min="1292" max="1292" width="13.625" style="156" customWidth="1"/>
    <col min="1293" max="1293" width="19.125" style="156" customWidth="1"/>
    <col min="1294" max="1294" width="17.875" style="156" customWidth="1"/>
    <col min="1295" max="1295" width="13.125" style="156" bestFit="1" customWidth="1"/>
    <col min="1296" max="1297" width="9" style="156"/>
    <col min="1298" max="1299" width="11.125" style="156" customWidth="1"/>
    <col min="1300" max="1300" width="12.5" style="156" bestFit="1" customWidth="1"/>
    <col min="1301" max="1536" width="9" style="156"/>
    <col min="1537" max="1537" width="27.375" style="156" customWidth="1"/>
    <col min="1538" max="1538" width="9.25" style="156" customWidth="1"/>
    <col min="1539" max="1539" width="8.5" style="156" customWidth="1"/>
    <col min="1540" max="1541" width="9.75" style="156" customWidth="1"/>
    <col min="1542" max="1542" width="12" style="156" customWidth="1"/>
    <col min="1543" max="1543" width="11.625" style="156" customWidth="1"/>
    <col min="1544" max="1544" width="11.875" style="156" customWidth="1"/>
    <col min="1545" max="1545" width="11.625" style="156" customWidth="1"/>
    <col min="1546" max="1546" width="8.5" style="156" customWidth="1"/>
    <col min="1547" max="1547" width="7.875" style="156" customWidth="1"/>
    <col min="1548" max="1548" width="13.625" style="156" customWidth="1"/>
    <col min="1549" max="1549" width="19.125" style="156" customWidth="1"/>
    <col min="1550" max="1550" width="17.875" style="156" customWidth="1"/>
    <col min="1551" max="1551" width="13.125" style="156" bestFit="1" customWidth="1"/>
    <col min="1552" max="1553" width="9" style="156"/>
    <col min="1554" max="1555" width="11.125" style="156" customWidth="1"/>
    <col min="1556" max="1556" width="12.5" style="156" bestFit="1" customWidth="1"/>
    <col min="1557" max="1792" width="9" style="156"/>
    <col min="1793" max="1793" width="27.375" style="156" customWidth="1"/>
    <col min="1794" max="1794" width="9.25" style="156" customWidth="1"/>
    <col min="1795" max="1795" width="8.5" style="156" customWidth="1"/>
    <col min="1796" max="1797" width="9.75" style="156" customWidth="1"/>
    <col min="1798" max="1798" width="12" style="156" customWidth="1"/>
    <col min="1799" max="1799" width="11.625" style="156" customWidth="1"/>
    <col min="1800" max="1800" width="11.875" style="156" customWidth="1"/>
    <col min="1801" max="1801" width="11.625" style="156" customWidth="1"/>
    <col min="1802" max="1802" width="8.5" style="156" customWidth="1"/>
    <col min="1803" max="1803" width="7.875" style="156" customWidth="1"/>
    <col min="1804" max="1804" width="13.625" style="156" customWidth="1"/>
    <col min="1805" max="1805" width="19.125" style="156" customWidth="1"/>
    <col min="1806" max="1806" width="17.875" style="156" customWidth="1"/>
    <col min="1807" max="1807" width="13.125" style="156" bestFit="1" customWidth="1"/>
    <col min="1808" max="1809" width="9" style="156"/>
    <col min="1810" max="1811" width="11.125" style="156" customWidth="1"/>
    <col min="1812" max="1812" width="12.5" style="156" bestFit="1" customWidth="1"/>
    <col min="1813" max="2048" width="9" style="156"/>
    <col min="2049" max="2049" width="27.375" style="156" customWidth="1"/>
    <col min="2050" max="2050" width="9.25" style="156" customWidth="1"/>
    <col min="2051" max="2051" width="8.5" style="156" customWidth="1"/>
    <col min="2052" max="2053" width="9.75" style="156" customWidth="1"/>
    <col min="2054" max="2054" width="12" style="156" customWidth="1"/>
    <col min="2055" max="2055" width="11.625" style="156" customWidth="1"/>
    <col min="2056" max="2056" width="11.875" style="156" customWidth="1"/>
    <col min="2057" max="2057" width="11.625" style="156" customWidth="1"/>
    <col min="2058" max="2058" width="8.5" style="156" customWidth="1"/>
    <col min="2059" max="2059" width="7.875" style="156" customWidth="1"/>
    <col min="2060" max="2060" width="13.625" style="156" customWidth="1"/>
    <col min="2061" max="2061" width="19.125" style="156" customWidth="1"/>
    <col min="2062" max="2062" width="17.875" style="156" customWidth="1"/>
    <col min="2063" max="2063" width="13.125" style="156" bestFit="1" customWidth="1"/>
    <col min="2064" max="2065" width="9" style="156"/>
    <col min="2066" max="2067" width="11.125" style="156" customWidth="1"/>
    <col min="2068" max="2068" width="12.5" style="156" bestFit="1" customWidth="1"/>
    <col min="2069" max="2304" width="9" style="156"/>
    <col min="2305" max="2305" width="27.375" style="156" customWidth="1"/>
    <col min="2306" max="2306" width="9.25" style="156" customWidth="1"/>
    <col min="2307" max="2307" width="8.5" style="156" customWidth="1"/>
    <col min="2308" max="2309" width="9.75" style="156" customWidth="1"/>
    <col min="2310" max="2310" width="12" style="156" customWidth="1"/>
    <col min="2311" max="2311" width="11.625" style="156" customWidth="1"/>
    <col min="2312" max="2312" width="11.875" style="156" customWidth="1"/>
    <col min="2313" max="2313" width="11.625" style="156" customWidth="1"/>
    <col min="2314" max="2314" width="8.5" style="156" customWidth="1"/>
    <col min="2315" max="2315" width="7.875" style="156" customWidth="1"/>
    <col min="2316" max="2316" width="13.625" style="156" customWidth="1"/>
    <col min="2317" max="2317" width="19.125" style="156" customWidth="1"/>
    <col min="2318" max="2318" width="17.875" style="156" customWidth="1"/>
    <col min="2319" max="2319" width="13.125" style="156" bestFit="1" customWidth="1"/>
    <col min="2320" max="2321" width="9" style="156"/>
    <col min="2322" max="2323" width="11.125" style="156" customWidth="1"/>
    <col min="2324" max="2324" width="12.5" style="156" bestFit="1" customWidth="1"/>
    <col min="2325" max="2560" width="9" style="156"/>
    <col min="2561" max="2561" width="27.375" style="156" customWidth="1"/>
    <col min="2562" max="2562" width="9.25" style="156" customWidth="1"/>
    <col min="2563" max="2563" width="8.5" style="156" customWidth="1"/>
    <col min="2564" max="2565" width="9.75" style="156" customWidth="1"/>
    <col min="2566" max="2566" width="12" style="156" customWidth="1"/>
    <col min="2567" max="2567" width="11.625" style="156" customWidth="1"/>
    <col min="2568" max="2568" width="11.875" style="156" customWidth="1"/>
    <col min="2569" max="2569" width="11.625" style="156" customWidth="1"/>
    <col min="2570" max="2570" width="8.5" style="156" customWidth="1"/>
    <col min="2571" max="2571" width="7.875" style="156" customWidth="1"/>
    <col min="2572" max="2572" width="13.625" style="156" customWidth="1"/>
    <col min="2573" max="2573" width="19.125" style="156" customWidth="1"/>
    <col min="2574" max="2574" width="17.875" style="156" customWidth="1"/>
    <col min="2575" max="2575" width="13.125" style="156" bestFit="1" customWidth="1"/>
    <col min="2576" max="2577" width="9" style="156"/>
    <col min="2578" max="2579" width="11.125" style="156" customWidth="1"/>
    <col min="2580" max="2580" width="12.5" style="156" bestFit="1" customWidth="1"/>
    <col min="2581" max="2816" width="9" style="156"/>
    <col min="2817" max="2817" width="27.375" style="156" customWidth="1"/>
    <col min="2818" max="2818" width="9.25" style="156" customWidth="1"/>
    <col min="2819" max="2819" width="8.5" style="156" customWidth="1"/>
    <col min="2820" max="2821" width="9.75" style="156" customWidth="1"/>
    <col min="2822" max="2822" width="12" style="156" customWidth="1"/>
    <col min="2823" max="2823" width="11.625" style="156" customWidth="1"/>
    <col min="2824" max="2824" width="11.875" style="156" customWidth="1"/>
    <col min="2825" max="2825" width="11.625" style="156" customWidth="1"/>
    <col min="2826" max="2826" width="8.5" style="156" customWidth="1"/>
    <col min="2827" max="2827" width="7.875" style="156" customWidth="1"/>
    <col min="2828" max="2828" width="13.625" style="156" customWidth="1"/>
    <col min="2829" max="2829" width="19.125" style="156" customWidth="1"/>
    <col min="2830" max="2830" width="17.875" style="156" customWidth="1"/>
    <col min="2831" max="2831" width="13.125" style="156" bestFit="1" customWidth="1"/>
    <col min="2832" max="2833" width="9" style="156"/>
    <col min="2834" max="2835" width="11.125" style="156" customWidth="1"/>
    <col min="2836" max="2836" width="12.5" style="156" bestFit="1" customWidth="1"/>
    <col min="2837" max="3072" width="9" style="156"/>
    <col min="3073" max="3073" width="27.375" style="156" customWidth="1"/>
    <col min="3074" max="3074" width="9.25" style="156" customWidth="1"/>
    <col min="3075" max="3075" width="8.5" style="156" customWidth="1"/>
    <col min="3076" max="3077" width="9.75" style="156" customWidth="1"/>
    <col min="3078" max="3078" width="12" style="156" customWidth="1"/>
    <col min="3079" max="3079" width="11.625" style="156" customWidth="1"/>
    <col min="3080" max="3080" width="11.875" style="156" customWidth="1"/>
    <col min="3081" max="3081" width="11.625" style="156" customWidth="1"/>
    <col min="3082" max="3082" width="8.5" style="156" customWidth="1"/>
    <col min="3083" max="3083" width="7.875" style="156" customWidth="1"/>
    <col min="3084" max="3084" width="13.625" style="156" customWidth="1"/>
    <col min="3085" max="3085" width="19.125" style="156" customWidth="1"/>
    <col min="3086" max="3086" width="17.875" style="156" customWidth="1"/>
    <col min="3087" max="3087" width="13.125" style="156" bestFit="1" customWidth="1"/>
    <col min="3088" max="3089" width="9" style="156"/>
    <col min="3090" max="3091" width="11.125" style="156" customWidth="1"/>
    <col min="3092" max="3092" width="12.5" style="156" bestFit="1" customWidth="1"/>
    <col min="3093" max="3328" width="9" style="156"/>
    <col min="3329" max="3329" width="27.375" style="156" customWidth="1"/>
    <col min="3330" max="3330" width="9.25" style="156" customWidth="1"/>
    <col min="3331" max="3331" width="8.5" style="156" customWidth="1"/>
    <col min="3332" max="3333" width="9.75" style="156" customWidth="1"/>
    <col min="3334" max="3334" width="12" style="156" customWidth="1"/>
    <col min="3335" max="3335" width="11.625" style="156" customWidth="1"/>
    <col min="3336" max="3336" width="11.875" style="156" customWidth="1"/>
    <col min="3337" max="3337" width="11.625" style="156" customWidth="1"/>
    <col min="3338" max="3338" width="8.5" style="156" customWidth="1"/>
    <col min="3339" max="3339" width="7.875" style="156" customWidth="1"/>
    <col min="3340" max="3340" width="13.625" style="156" customWidth="1"/>
    <col min="3341" max="3341" width="19.125" style="156" customWidth="1"/>
    <col min="3342" max="3342" width="17.875" style="156" customWidth="1"/>
    <col min="3343" max="3343" width="13.125" style="156" bestFit="1" customWidth="1"/>
    <col min="3344" max="3345" width="9" style="156"/>
    <col min="3346" max="3347" width="11.125" style="156" customWidth="1"/>
    <col min="3348" max="3348" width="12.5" style="156" bestFit="1" customWidth="1"/>
    <col min="3349" max="3584" width="9" style="156"/>
    <col min="3585" max="3585" width="27.375" style="156" customWidth="1"/>
    <col min="3586" max="3586" width="9.25" style="156" customWidth="1"/>
    <col min="3587" max="3587" width="8.5" style="156" customWidth="1"/>
    <col min="3588" max="3589" width="9.75" style="156" customWidth="1"/>
    <col min="3590" max="3590" width="12" style="156" customWidth="1"/>
    <col min="3591" max="3591" width="11.625" style="156" customWidth="1"/>
    <col min="3592" max="3592" width="11.875" style="156" customWidth="1"/>
    <col min="3593" max="3593" width="11.625" style="156" customWidth="1"/>
    <col min="3594" max="3594" width="8.5" style="156" customWidth="1"/>
    <col min="3595" max="3595" width="7.875" style="156" customWidth="1"/>
    <col min="3596" max="3596" width="13.625" style="156" customWidth="1"/>
    <col min="3597" max="3597" width="19.125" style="156" customWidth="1"/>
    <col min="3598" max="3598" width="17.875" style="156" customWidth="1"/>
    <col min="3599" max="3599" width="13.125" style="156" bestFit="1" customWidth="1"/>
    <col min="3600" max="3601" width="9" style="156"/>
    <col min="3602" max="3603" width="11.125" style="156" customWidth="1"/>
    <col min="3604" max="3604" width="12.5" style="156" bestFit="1" customWidth="1"/>
    <col min="3605" max="3840" width="9" style="156"/>
    <col min="3841" max="3841" width="27.375" style="156" customWidth="1"/>
    <col min="3842" max="3842" width="9.25" style="156" customWidth="1"/>
    <col min="3843" max="3843" width="8.5" style="156" customWidth="1"/>
    <col min="3844" max="3845" width="9.75" style="156" customWidth="1"/>
    <col min="3846" max="3846" width="12" style="156" customWidth="1"/>
    <col min="3847" max="3847" width="11.625" style="156" customWidth="1"/>
    <col min="3848" max="3848" width="11.875" style="156" customWidth="1"/>
    <col min="3849" max="3849" width="11.625" style="156" customWidth="1"/>
    <col min="3850" max="3850" width="8.5" style="156" customWidth="1"/>
    <col min="3851" max="3851" width="7.875" style="156" customWidth="1"/>
    <col min="3852" max="3852" width="13.625" style="156" customWidth="1"/>
    <col min="3853" max="3853" width="19.125" style="156" customWidth="1"/>
    <col min="3854" max="3854" width="17.875" style="156" customWidth="1"/>
    <col min="3855" max="3855" width="13.125" style="156" bestFit="1" customWidth="1"/>
    <col min="3856" max="3857" width="9" style="156"/>
    <col min="3858" max="3859" width="11.125" style="156" customWidth="1"/>
    <col min="3860" max="3860" width="12.5" style="156" bestFit="1" customWidth="1"/>
    <col min="3861" max="4096" width="9" style="156"/>
    <col min="4097" max="4097" width="27.375" style="156" customWidth="1"/>
    <col min="4098" max="4098" width="9.25" style="156" customWidth="1"/>
    <col min="4099" max="4099" width="8.5" style="156" customWidth="1"/>
    <col min="4100" max="4101" width="9.75" style="156" customWidth="1"/>
    <col min="4102" max="4102" width="12" style="156" customWidth="1"/>
    <col min="4103" max="4103" width="11.625" style="156" customWidth="1"/>
    <col min="4104" max="4104" width="11.875" style="156" customWidth="1"/>
    <col min="4105" max="4105" width="11.625" style="156" customWidth="1"/>
    <col min="4106" max="4106" width="8.5" style="156" customWidth="1"/>
    <col min="4107" max="4107" width="7.875" style="156" customWidth="1"/>
    <col min="4108" max="4108" width="13.625" style="156" customWidth="1"/>
    <col min="4109" max="4109" width="19.125" style="156" customWidth="1"/>
    <col min="4110" max="4110" width="17.875" style="156" customWidth="1"/>
    <col min="4111" max="4111" width="13.125" style="156" bestFit="1" customWidth="1"/>
    <col min="4112" max="4113" width="9" style="156"/>
    <col min="4114" max="4115" width="11.125" style="156" customWidth="1"/>
    <col min="4116" max="4116" width="12.5" style="156" bestFit="1" customWidth="1"/>
    <col min="4117" max="4352" width="9" style="156"/>
    <col min="4353" max="4353" width="27.375" style="156" customWidth="1"/>
    <col min="4354" max="4354" width="9.25" style="156" customWidth="1"/>
    <col min="4355" max="4355" width="8.5" style="156" customWidth="1"/>
    <col min="4356" max="4357" width="9.75" style="156" customWidth="1"/>
    <col min="4358" max="4358" width="12" style="156" customWidth="1"/>
    <col min="4359" max="4359" width="11.625" style="156" customWidth="1"/>
    <col min="4360" max="4360" width="11.875" style="156" customWidth="1"/>
    <col min="4361" max="4361" width="11.625" style="156" customWidth="1"/>
    <col min="4362" max="4362" width="8.5" style="156" customWidth="1"/>
    <col min="4363" max="4363" width="7.875" style="156" customWidth="1"/>
    <col min="4364" max="4364" width="13.625" style="156" customWidth="1"/>
    <col min="4365" max="4365" width="19.125" style="156" customWidth="1"/>
    <col min="4366" max="4366" width="17.875" style="156" customWidth="1"/>
    <col min="4367" max="4367" width="13.125" style="156" bestFit="1" customWidth="1"/>
    <col min="4368" max="4369" width="9" style="156"/>
    <col min="4370" max="4371" width="11.125" style="156" customWidth="1"/>
    <col min="4372" max="4372" width="12.5" style="156" bestFit="1" customWidth="1"/>
    <col min="4373" max="4608" width="9" style="156"/>
    <col min="4609" max="4609" width="27.375" style="156" customWidth="1"/>
    <col min="4610" max="4610" width="9.25" style="156" customWidth="1"/>
    <col min="4611" max="4611" width="8.5" style="156" customWidth="1"/>
    <col min="4612" max="4613" width="9.75" style="156" customWidth="1"/>
    <col min="4614" max="4614" width="12" style="156" customWidth="1"/>
    <col min="4615" max="4615" width="11.625" style="156" customWidth="1"/>
    <col min="4616" max="4616" width="11.875" style="156" customWidth="1"/>
    <col min="4617" max="4617" width="11.625" style="156" customWidth="1"/>
    <col min="4618" max="4618" width="8.5" style="156" customWidth="1"/>
    <col min="4619" max="4619" width="7.875" style="156" customWidth="1"/>
    <col min="4620" max="4620" width="13.625" style="156" customWidth="1"/>
    <col min="4621" max="4621" width="19.125" style="156" customWidth="1"/>
    <col min="4622" max="4622" width="17.875" style="156" customWidth="1"/>
    <col min="4623" max="4623" width="13.125" style="156" bestFit="1" customWidth="1"/>
    <col min="4624" max="4625" width="9" style="156"/>
    <col min="4626" max="4627" width="11.125" style="156" customWidth="1"/>
    <col min="4628" max="4628" width="12.5" style="156" bestFit="1" customWidth="1"/>
    <col min="4629" max="4864" width="9" style="156"/>
    <col min="4865" max="4865" width="27.375" style="156" customWidth="1"/>
    <col min="4866" max="4866" width="9.25" style="156" customWidth="1"/>
    <col min="4867" max="4867" width="8.5" style="156" customWidth="1"/>
    <col min="4868" max="4869" width="9.75" style="156" customWidth="1"/>
    <col min="4870" max="4870" width="12" style="156" customWidth="1"/>
    <col min="4871" max="4871" width="11.625" style="156" customWidth="1"/>
    <col min="4872" max="4872" width="11.875" style="156" customWidth="1"/>
    <col min="4873" max="4873" width="11.625" style="156" customWidth="1"/>
    <col min="4874" max="4874" width="8.5" style="156" customWidth="1"/>
    <col min="4875" max="4875" width="7.875" style="156" customWidth="1"/>
    <col min="4876" max="4876" width="13.625" style="156" customWidth="1"/>
    <col min="4877" max="4877" width="19.125" style="156" customWidth="1"/>
    <col min="4878" max="4878" width="17.875" style="156" customWidth="1"/>
    <col min="4879" max="4879" width="13.125" style="156" bestFit="1" customWidth="1"/>
    <col min="4880" max="4881" width="9" style="156"/>
    <col min="4882" max="4883" width="11.125" style="156" customWidth="1"/>
    <col min="4884" max="4884" width="12.5" style="156" bestFit="1" customWidth="1"/>
    <col min="4885" max="5120" width="9" style="156"/>
    <col min="5121" max="5121" width="27.375" style="156" customWidth="1"/>
    <col min="5122" max="5122" width="9.25" style="156" customWidth="1"/>
    <col min="5123" max="5123" width="8.5" style="156" customWidth="1"/>
    <col min="5124" max="5125" width="9.75" style="156" customWidth="1"/>
    <col min="5126" max="5126" width="12" style="156" customWidth="1"/>
    <col min="5127" max="5127" width="11.625" style="156" customWidth="1"/>
    <col min="5128" max="5128" width="11.875" style="156" customWidth="1"/>
    <col min="5129" max="5129" width="11.625" style="156" customWidth="1"/>
    <col min="5130" max="5130" width="8.5" style="156" customWidth="1"/>
    <col min="5131" max="5131" width="7.875" style="156" customWidth="1"/>
    <col min="5132" max="5132" width="13.625" style="156" customWidth="1"/>
    <col min="5133" max="5133" width="19.125" style="156" customWidth="1"/>
    <col min="5134" max="5134" width="17.875" style="156" customWidth="1"/>
    <col min="5135" max="5135" width="13.125" style="156" bestFit="1" customWidth="1"/>
    <col min="5136" max="5137" width="9" style="156"/>
    <col min="5138" max="5139" width="11.125" style="156" customWidth="1"/>
    <col min="5140" max="5140" width="12.5" style="156" bestFit="1" customWidth="1"/>
    <col min="5141" max="5376" width="9" style="156"/>
    <col min="5377" max="5377" width="27.375" style="156" customWidth="1"/>
    <col min="5378" max="5378" width="9.25" style="156" customWidth="1"/>
    <col min="5379" max="5379" width="8.5" style="156" customWidth="1"/>
    <col min="5380" max="5381" width="9.75" style="156" customWidth="1"/>
    <col min="5382" max="5382" width="12" style="156" customWidth="1"/>
    <col min="5383" max="5383" width="11.625" style="156" customWidth="1"/>
    <col min="5384" max="5384" width="11.875" style="156" customWidth="1"/>
    <col min="5385" max="5385" width="11.625" style="156" customWidth="1"/>
    <col min="5386" max="5386" width="8.5" style="156" customWidth="1"/>
    <col min="5387" max="5387" width="7.875" style="156" customWidth="1"/>
    <col min="5388" max="5388" width="13.625" style="156" customWidth="1"/>
    <col min="5389" max="5389" width="19.125" style="156" customWidth="1"/>
    <col min="5390" max="5390" width="17.875" style="156" customWidth="1"/>
    <col min="5391" max="5391" width="13.125" style="156" bestFit="1" customWidth="1"/>
    <col min="5392" max="5393" width="9" style="156"/>
    <col min="5394" max="5395" width="11.125" style="156" customWidth="1"/>
    <col min="5396" max="5396" width="12.5" style="156" bestFit="1" customWidth="1"/>
    <col min="5397" max="5632" width="9" style="156"/>
    <col min="5633" max="5633" width="27.375" style="156" customWidth="1"/>
    <col min="5634" max="5634" width="9.25" style="156" customWidth="1"/>
    <col min="5635" max="5635" width="8.5" style="156" customWidth="1"/>
    <col min="5636" max="5637" width="9.75" style="156" customWidth="1"/>
    <col min="5638" max="5638" width="12" style="156" customWidth="1"/>
    <col min="5639" max="5639" width="11.625" style="156" customWidth="1"/>
    <col min="5640" max="5640" width="11.875" style="156" customWidth="1"/>
    <col min="5641" max="5641" width="11.625" style="156" customWidth="1"/>
    <col min="5642" max="5642" width="8.5" style="156" customWidth="1"/>
    <col min="5643" max="5643" width="7.875" style="156" customWidth="1"/>
    <col min="5644" max="5644" width="13.625" style="156" customWidth="1"/>
    <col min="5645" max="5645" width="19.125" style="156" customWidth="1"/>
    <col min="5646" max="5646" width="17.875" style="156" customWidth="1"/>
    <col min="5647" max="5647" width="13.125" style="156" bestFit="1" customWidth="1"/>
    <col min="5648" max="5649" width="9" style="156"/>
    <col min="5650" max="5651" width="11.125" style="156" customWidth="1"/>
    <col min="5652" max="5652" width="12.5" style="156" bestFit="1" customWidth="1"/>
    <col min="5653" max="5888" width="9" style="156"/>
    <col min="5889" max="5889" width="27.375" style="156" customWidth="1"/>
    <col min="5890" max="5890" width="9.25" style="156" customWidth="1"/>
    <col min="5891" max="5891" width="8.5" style="156" customWidth="1"/>
    <col min="5892" max="5893" width="9.75" style="156" customWidth="1"/>
    <col min="5894" max="5894" width="12" style="156" customWidth="1"/>
    <col min="5895" max="5895" width="11.625" style="156" customWidth="1"/>
    <col min="5896" max="5896" width="11.875" style="156" customWidth="1"/>
    <col min="5897" max="5897" width="11.625" style="156" customWidth="1"/>
    <col min="5898" max="5898" width="8.5" style="156" customWidth="1"/>
    <col min="5899" max="5899" width="7.875" style="156" customWidth="1"/>
    <col min="5900" max="5900" width="13.625" style="156" customWidth="1"/>
    <col min="5901" max="5901" width="19.125" style="156" customWidth="1"/>
    <col min="5902" max="5902" width="17.875" style="156" customWidth="1"/>
    <col min="5903" max="5903" width="13.125" style="156" bestFit="1" customWidth="1"/>
    <col min="5904" max="5905" width="9" style="156"/>
    <col min="5906" max="5907" width="11.125" style="156" customWidth="1"/>
    <col min="5908" max="5908" width="12.5" style="156" bestFit="1" customWidth="1"/>
    <col min="5909" max="6144" width="9" style="156"/>
    <col min="6145" max="6145" width="27.375" style="156" customWidth="1"/>
    <col min="6146" max="6146" width="9.25" style="156" customWidth="1"/>
    <col min="6147" max="6147" width="8.5" style="156" customWidth="1"/>
    <col min="6148" max="6149" width="9.75" style="156" customWidth="1"/>
    <col min="6150" max="6150" width="12" style="156" customWidth="1"/>
    <col min="6151" max="6151" width="11.625" style="156" customWidth="1"/>
    <col min="6152" max="6152" width="11.875" style="156" customWidth="1"/>
    <col min="6153" max="6153" width="11.625" style="156" customWidth="1"/>
    <col min="6154" max="6154" width="8.5" style="156" customWidth="1"/>
    <col min="6155" max="6155" width="7.875" style="156" customWidth="1"/>
    <col min="6156" max="6156" width="13.625" style="156" customWidth="1"/>
    <col min="6157" max="6157" width="19.125" style="156" customWidth="1"/>
    <col min="6158" max="6158" width="17.875" style="156" customWidth="1"/>
    <col min="6159" max="6159" width="13.125" style="156" bestFit="1" customWidth="1"/>
    <col min="6160" max="6161" width="9" style="156"/>
    <col min="6162" max="6163" width="11.125" style="156" customWidth="1"/>
    <col min="6164" max="6164" width="12.5" style="156" bestFit="1" customWidth="1"/>
    <col min="6165" max="6400" width="9" style="156"/>
    <col min="6401" max="6401" width="27.375" style="156" customWidth="1"/>
    <col min="6402" max="6402" width="9.25" style="156" customWidth="1"/>
    <col min="6403" max="6403" width="8.5" style="156" customWidth="1"/>
    <col min="6404" max="6405" width="9.75" style="156" customWidth="1"/>
    <col min="6406" max="6406" width="12" style="156" customWidth="1"/>
    <col min="6407" max="6407" width="11.625" style="156" customWidth="1"/>
    <col min="6408" max="6408" width="11.875" style="156" customWidth="1"/>
    <col min="6409" max="6409" width="11.625" style="156" customWidth="1"/>
    <col min="6410" max="6410" width="8.5" style="156" customWidth="1"/>
    <col min="6411" max="6411" width="7.875" style="156" customWidth="1"/>
    <col min="6412" max="6412" width="13.625" style="156" customWidth="1"/>
    <col min="6413" max="6413" width="19.125" style="156" customWidth="1"/>
    <col min="6414" max="6414" width="17.875" style="156" customWidth="1"/>
    <col min="6415" max="6415" width="13.125" style="156" bestFit="1" customWidth="1"/>
    <col min="6416" max="6417" width="9" style="156"/>
    <col min="6418" max="6419" width="11.125" style="156" customWidth="1"/>
    <col min="6420" max="6420" width="12.5" style="156" bestFit="1" customWidth="1"/>
    <col min="6421" max="6656" width="9" style="156"/>
    <col min="6657" max="6657" width="27.375" style="156" customWidth="1"/>
    <col min="6658" max="6658" width="9.25" style="156" customWidth="1"/>
    <col min="6659" max="6659" width="8.5" style="156" customWidth="1"/>
    <col min="6660" max="6661" width="9.75" style="156" customWidth="1"/>
    <col min="6662" max="6662" width="12" style="156" customWidth="1"/>
    <col min="6663" max="6663" width="11.625" style="156" customWidth="1"/>
    <col min="6664" max="6664" width="11.875" style="156" customWidth="1"/>
    <col min="6665" max="6665" width="11.625" style="156" customWidth="1"/>
    <col min="6666" max="6666" width="8.5" style="156" customWidth="1"/>
    <col min="6667" max="6667" width="7.875" style="156" customWidth="1"/>
    <col min="6668" max="6668" width="13.625" style="156" customWidth="1"/>
    <col min="6669" max="6669" width="19.125" style="156" customWidth="1"/>
    <col min="6670" max="6670" width="17.875" style="156" customWidth="1"/>
    <col min="6671" max="6671" width="13.125" style="156" bestFit="1" customWidth="1"/>
    <col min="6672" max="6673" width="9" style="156"/>
    <col min="6674" max="6675" width="11.125" style="156" customWidth="1"/>
    <col min="6676" max="6676" width="12.5" style="156" bestFit="1" customWidth="1"/>
    <col min="6677" max="6912" width="9" style="156"/>
    <col min="6913" max="6913" width="27.375" style="156" customWidth="1"/>
    <col min="6914" max="6914" width="9.25" style="156" customWidth="1"/>
    <col min="6915" max="6915" width="8.5" style="156" customWidth="1"/>
    <col min="6916" max="6917" width="9.75" style="156" customWidth="1"/>
    <col min="6918" max="6918" width="12" style="156" customWidth="1"/>
    <col min="6919" max="6919" width="11.625" style="156" customWidth="1"/>
    <col min="6920" max="6920" width="11.875" style="156" customWidth="1"/>
    <col min="6921" max="6921" width="11.625" style="156" customWidth="1"/>
    <col min="6922" max="6922" width="8.5" style="156" customWidth="1"/>
    <col min="6923" max="6923" width="7.875" style="156" customWidth="1"/>
    <col min="6924" max="6924" width="13.625" style="156" customWidth="1"/>
    <col min="6925" max="6925" width="19.125" style="156" customWidth="1"/>
    <col min="6926" max="6926" width="17.875" style="156" customWidth="1"/>
    <col min="6927" max="6927" width="13.125" style="156" bestFit="1" customWidth="1"/>
    <col min="6928" max="6929" width="9" style="156"/>
    <col min="6930" max="6931" width="11.125" style="156" customWidth="1"/>
    <col min="6932" max="6932" width="12.5" style="156" bestFit="1" customWidth="1"/>
    <col min="6933" max="7168" width="9" style="156"/>
    <col min="7169" max="7169" width="27.375" style="156" customWidth="1"/>
    <col min="7170" max="7170" width="9.25" style="156" customWidth="1"/>
    <col min="7171" max="7171" width="8.5" style="156" customWidth="1"/>
    <col min="7172" max="7173" width="9.75" style="156" customWidth="1"/>
    <col min="7174" max="7174" width="12" style="156" customWidth="1"/>
    <col min="7175" max="7175" width="11.625" style="156" customWidth="1"/>
    <col min="7176" max="7176" width="11.875" style="156" customWidth="1"/>
    <col min="7177" max="7177" width="11.625" style="156" customWidth="1"/>
    <col min="7178" max="7178" width="8.5" style="156" customWidth="1"/>
    <col min="7179" max="7179" width="7.875" style="156" customWidth="1"/>
    <col min="7180" max="7180" width="13.625" style="156" customWidth="1"/>
    <col min="7181" max="7181" width="19.125" style="156" customWidth="1"/>
    <col min="7182" max="7182" width="17.875" style="156" customWidth="1"/>
    <col min="7183" max="7183" width="13.125" style="156" bestFit="1" customWidth="1"/>
    <col min="7184" max="7185" width="9" style="156"/>
    <col min="7186" max="7187" width="11.125" style="156" customWidth="1"/>
    <col min="7188" max="7188" width="12.5" style="156" bestFit="1" customWidth="1"/>
    <col min="7189" max="7424" width="9" style="156"/>
    <col min="7425" max="7425" width="27.375" style="156" customWidth="1"/>
    <col min="7426" max="7426" width="9.25" style="156" customWidth="1"/>
    <col min="7427" max="7427" width="8.5" style="156" customWidth="1"/>
    <col min="7428" max="7429" width="9.75" style="156" customWidth="1"/>
    <col min="7430" max="7430" width="12" style="156" customWidth="1"/>
    <col min="7431" max="7431" width="11.625" style="156" customWidth="1"/>
    <col min="7432" max="7432" width="11.875" style="156" customWidth="1"/>
    <col min="7433" max="7433" width="11.625" style="156" customWidth="1"/>
    <col min="7434" max="7434" width="8.5" style="156" customWidth="1"/>
    <col min="7435" max="7435" width="7.875" style="156" customWidth="1"/>
    <col min="7436" max="7436" width="13.625" style="156" customWidth="1"/>
    <col min="7437" max="7437" width="19.125" style="156" customWidth="1"/>
    <col min="7438" max="7438" width="17.875" style="156" customWidth="1"/>
    <col min="7439" max="7439" width="13.125" style="156" bestFit="1" customWidth="1"/>
    <col min="7440" max="7441" width="9" style="156"/>
    <col min="7442" max="7443" width="11.125" style="156" customWidth="1"/>
    <col min="7444" max="7444" width="12.5" style="156" bestFit="1" customWidth="1"/>
    <col min="7445" max="7680" width="9" style="156"/>
    <col min="7681" max="7681" width="27.375" style="156" customWidth="1"/>
    <col min="7682" max="7682" width="9.25" style="156" customWidth="1"/>
    <col min="7683" max="7683" width="8.5" style="156" customWidth="1"/>
    <col min="7684" max="7685" width="9.75" style="156" customWidth="1"/>
    <col min="7686" max="7686" width="12" style="156" customWidth="1"/>
    <col min="7687" max="7687" width="11.625" style="156" customWidth="1"/>
    <col min="7688" max="7688" width="11.875" style="156" customWidth="1"/>
    <col min="7689" max="7689" width="11.625" style="156" customWidth="1"/>
    <col min="7690" max="7690" width="8.5" style="156" customWidth="1"/>
    <col min="7691" max="7691" width="7.875" style="156" customWidth="1"/>
    <col min="7692" max="7692" width="13.625" style="156" customWidth="1"/>
    <col min="7693" max="7693" width="19.125" style="156" customWidth="1"/>
    <col min="7694" max="7694" width="17.875" style="156" customWidth="1"/>
    <col min="7695" max="7695" width="13.125" style="156" bestFit="1" customWidth="1"/>
    <col min="7696" max="7697" width="9" style="156"/>
    <col min="7698" max="7699" width="11.125" style="156" customWidth="1"/>
    <col min="7700" max="7700" width="12.5" style="156" bestFit="1" customWidth="1"/>
    <col min="7701" max="7936" width="9" style="156"/>
    <col min="7937" max="7937" width="27.375" style="156" customWidth="1"/>
    <col min="7938" max="7938" width="9.25" style="156" customWidth="1"/>
    <col min="7939" max="7939" width="8.5" style="156" customWidth="1"/>
    <col min="7940" max="7941" width="9.75" style="156" customWidth="1"/>
    <col min="7942" max="7942" width="12" style="156" customWidth="1"/>
    <col min="7943" max="7943" width="11.625" style="156" customWidth="1"/>
    <col min="7944" max="7944" width="11.875" style="156" customWidth="1"/>
    <col min="7945" max="7945" width="11.625" style="156" customWidth="1"/>
    <col min="7946" max="7946" width="8.5" style="156" customWidth="1"/>
    <col min="7947" max="7947" width="7.875" style="156" customWidth="1"/>
    <col min="7948" max="7948" width="13.625" style="156" customWidth="1"/>
    <col min="7949" max="7949" width="19.125" style="156" customWidth="1"/>
    <col min="7950" max="7950" width="17.875" style="156" customWidth="1"/>
    <col min="7951" max="7951" width="13.125" style="156" bestFit="1" customWidth="1"/>
    <col min="7952" max="7953" width="9" style="156"/>
    <col min="7954" max="7955" width="11.125" style="156" customWidth="1"/>
    <col min="7956" max="7956" width="12.5" style="156" bestFit="1" customWidth="1"/>
    <col min="7957" max="8192" width="9" style="156"/>
    <col min="8193" max="8193" width="27.375" style="156" customWidth="1"/>
    <col min="8194" max="8194" width="9.25" style="156" customWidth="1"/>
    <col min="8195" max="8195" width="8.5" style="156" customWidth="1"/>
    <col min="8196" max="8197" width="9.75" style="156" customWidth="1"/>
    <col min="8198" max="8198" width="12" style="156" customWidth="1"/>
    <col min="8199" max="8199" width="11.625" style="156" customWidth="1"/>
    <col min="8200" max="8200" width="11.875" style="156" customWidth="1"/>
    <col min="8201" max="8201" width="11.625" style="156" customWidth="1"/>
    <col min="8202" max="8202" width="8.5" style="156" customWidth="1"/>
    <col min="8203" max="8203" width="7.875" style="156" customWidth="1"/>
    <col min="8204" max="8204" width="13.625" style="156" customWidth="1"/>
    <col min="8205" max="8205" width="19.125" style="156" customWidth="1"/>
    <col min="8206" max="8206" width="17.875" style="156" customWidth="1"/>
    <col min="8207" max="8207" width="13.125" style="156" bestFit="1" customWidth="1"/>
    <col min="8208" max="8209" width="9" style="156"/>
    <col min="8210" max="8211" width="11.125" style="156" customWidth="1"/>
    <col min="8212" max="8212" width="12.5" style="156" bestFit="1" customWidth="1"/>
    <col min="8213" max="8448" width="9" style="156"/>
    <col min="8449" max="8449" width="27.375" style="156" customWidth="1"/>
    <col min="8450" max="8450" width="9.25" style="156" customWidth="1"/>
    <col min="8451" max="8451" width="8.5" style="156" customWidth="1"/>
    <col min="8452" max="8453" width="9.75" style="156" customWidth="1"/>
    <col min="8454" max="8454" width="12" style="156" customWidth="1"/>
    <col min="8455" max="8455" width="11.625" style="156" customWidth="1"/>
    <col min="8456" max="8456" width="11.875" style="156" customWidth="1"/>
    <col min="8457" max="8457" width="11.625" style="156" customWidth="1"/>
    <col min="8458" max="8458" width="8.5" style="156" customWidth="1"/>
    <col min="8459" max="8459" width="7.875" style="156" customWidth="1"/>
    <col min="8460" max="8460" width="13.625" style="156" customWidth="1"/>
    <col min="8461" max="8461" width="19.125" style="156" customWidth="1"/>
    <col min="8462" max="8462" width="17.875" style="156" customWidth="1"/>
    <col min="8463" max="8463" width="13.125" style="156" bestFit="1" customWidth="1"/>
    <col min="8464" max="8465" width="9" style="156"/>
    <col min="8466" max="8467" width="11.125" style="156" customWidth="1"/>
    <col min="8468" max="8468" width="12.5" style="156" bestFit="1" customWidth="1"/>
    <col min="8469" max="8704" width="9" style="156"/>
    <col min="8705" max="8705" width="27.375" style="156" customWidth="1"/>
    <col min="8706" max="8706" width="9.25" style="156" customWidth="1"/>
    <col min="8707" max="8707" width="8.5" style="156" customWidth="1"/>
    <col min="8708" max="8709" width="9.75" style="156" customWidth="1"/>
    <col min="8710" max="8710" width="12" style="156" customWidth="1"/>
    <col min="8711" max="8711" width="11.625" style="156" customWidth="1"/>
    <col min="8712" max="8712" width="11.875" style="156" customWidth="1"/>
    <col min="8713" max="8713" width="11.625" style="156" customWidth="1"/>
    <col min="8714" max="8714" width="8.5" style="156" customWidth="1"/>
    <col min="8715" max="8715" width="7.875" style="156" customWidth="1"/>
    <col min="8716" max="8716" width="13.625" style="156" customWidth="1"/>
    <col min="8717" max="8717" width="19.125" style="156" customWidth="1"/>
    <col min="8718" max="8718" width="17.875" style="156" customWidth="1"/>
    <col min="8719" max="8719" width="13.125" style="156" bestFit="1" customWidth="1"/>
    <col min="8720" max="8721" width="9" style="156"/>
    <col min="8722" max="8723" width="11.125" style="156" customWidth="1"/>
    <col min="8724" max="8724" width="12.5" style="156" bestFit="1" customWidth="1"/>
    <col min="8725" max="8960" width="9" style="156"/>
    <col min="8961" max="8961" width="27.375" style="156" customWidth="1"/>
    <col min="8962" max="8962" width="9.25" style="156" customWidth="1"/>
    <col min="8963" max="8963" width="8.5" style="156" customWidth="1"/>
    <col min="8964" max="8965" width="9.75" style="156" customWidth="1"/>
    <col min="8966" max="8966" width="12" style="156" customWidth="1"/>
    <col min="8967" max="8967" width="11.625" style="156" customWidth="1"/>
    <col min="8968" max="8968" width="11.875" style="156" customWidth="1"/>
    <col min="8969" max="8969" width="11.625" style="156" customWidth="1"/>
    <col min="8970" max="8970" width="8.5" style="156" customWidth="1"/>
    <col min="8971" max="8971" width="7.875" style="156" customWidth="1"/>
    <col min="8972" max="8972" width="13.625" style="156" customWidth="1"/>
    <col min="8973" max="8973" width="19.125" style="156" customWidth="1"/>
    <col min="8974" max="8974" width="17.875" style="156" customWidth="1"/>
    <col min="8975" max="8975" width="13.125" style="156" bestFit="1" customWidth="1"/>
    <col min="8976" max="8977" width="9" style="156"/>
    <col min="8978" max="8979" width="11.125" style="156" customWidth="1"/>
    <col min="8980" max="8980" width="12.5" style="156" bestFit="1" customWidth="1"/>
    <col min="8981" max="9216" width="9" style="156"/>
    <col min="9217" max="9217" width="27.375" style="156" customWidth="1"/>
    <col min="9218" max="9218" width="9.25" style="156" customWidth="1"/>
    <col min="9219" max="9219" width="8.5" style="156" customWidth="1"/>
    <col min="9220" max="9221" width="9.75" style="156" customWidth="1"/>
    <col min="9222" max="9222" width="12" style="156" customWidth="1"/>
    <col min="9223" max="9223" width="11.625" style="156" customWidth="1"/>
    <col min="9224" max="9224" width="11.875" style="156" customWidth="1"/>
    <col min="9225" max="9225" width="11.625" style="156" customWidth="1"/>
    <col min="9226" max="9226" width="8.5" style="156" customWidth="1"/>
    <col min="9227" max="9227" width="7.875" style="156" customWidth="1"/>
    <col min="9228" max="9228" width="13.625" style="156" customWidth="1"/>
    <col min="9229" max="9229" width="19.125" style="156" customWidth="1"/>
    <col min="9230" max="9230" width="17.875" style="156" customWidth="1"/>
    <col min="9231" max="9231" width="13.125" style="156" bestFit="1" customWidth="1"/>
    <col min="9232" max="9233" width="9" style="156"/>
    <col min="9234" max="9235" width="11.125" style="156" customWidth="1"/>
    <col min="9236" max="9236" width="12.5" style="156" bestFit="1" customWidth="1"/>
    <col min="9237" max="9472" width="9" style="156"/>
    <col min="9473" max="9473" width="27.375" style="156" customWidth="1"/>
    <col min="9474" max="9474" width="9.25" style="156" customWidth="1"/>
    <col min="9475" max="9475" width="8.5" style="156" customWidth="1"/>
    <col min="9476" max="9477" width="9.75" style="156" customWidth="1"/>
    <col min="9478" max="9478" width="12" style="156" customWidth="1"/>
    <col min="9479" max="9479" width="11.625" style="156" customWidth="1"/>
    <col min="9480" max="9480" width="11.875" style="156" customWidth="1"/>
    <col min="9481" max="9481" width="11.625" style="156" customWidth="1"/>
    <col min="9482" max="9482" width="8.5" style="156" customWidth="1"/>
    <col min="9483" max="9483" width="7.875" style="156" customWidth="1"/>
    <col min="9484" max="9484" width="13.625" style="156" customWidth="1"/>
    <col min="9485" max="9485" width="19.125" style="156" customWidth="1"/>
    <col min="9486" max="9486" width="17.875" style="156" customWidth="1"/>
    <col min="9487" max="9487" width="13.125" style="156" bestFit="1" customWidth="1"/>
    <col min="9488" max="9489" width="9" style="156"/>
    <col min="9490" max="9491" width="11.125" style="156" customWidth="1"/>
    <col min="9492" max="9492" width="12.5" style="156" bestFit="1" customWidth="1"/>
    <col min="9493" max="9728" width="9" style="156"/>
    <col min="9729" max="9729" width="27.375" style="156" customWidth="1"/>
    <col min="9730" max="9730" width="9.25" style="156" customWidth="1"/>
    <col min="9731" max="9731" width="8.5" style="156" customWidth="1"/>
    <col min="9732" max="9733" width="9.75" style="156" customWidth="1"/>
    <col min="9734" max="9734" width="12" style="156" customWidth="1"/>
    <col min="9735" max="9735" width="11.625" style="156" customWidth="1"/>
    <col min="9736" max="9736" width="11.875" style="156" customWidth="1"/>
    <col min="9737" max="9737" width="11.625" style="156" customWidth="1"/>
    <col min="9738" max="9738" width="8.5" style="156" customWidth="1"/>
    <col min="9739" max="9739" width="7.875" style="156" customWidth="1"/>
    <col min="9740" max="9740" width="13.625" style="156" customWidth="1"/>
    <col min="9741" max="9741" width="19.125" style="156" customWidth="1"/>
    <col min="9742" max="9742" width="17.875" style="156" customWidth="1"/>
    <col min="9743" max="9743" width="13.125" style="156" bestFit="1" customWidth="1"/>
    <col min="9744" max="9745" width="9" style="156"/>
    <col min="9746" max="9747" width="11.125" style="156" customWidth="1"/>
    <col min="9748" max="9748" width="12.5" style="156" bestFit="1" customWidth="1"/>
    <col min="9749" max="9984" width="9" style="156"/>
    <col min="9985" max="9985" width="27.375" style="156" customWidth="1"/>
    <col min="9986" max="9986" width="9.25" style="156" customWidth="1"/>
    <col min="9987" max="9987" width="8.5" style="156" customWidth="1"/>
    <col min="9988" max="9989" width="9.75" style="156" customWidth="1"/>
    <col min="9990" max="9990" width="12" style="156" customWidth="1"/>
    <col min="9991" max="9991" width="11.625" style="156" customWidth="1"/>
    <col min="9992" max="9992" width="11.875" style="156" customWidth="1"/>
    <col min="9993" max="9993" width="11.625" style="156" customWidth="1"/>
    <col min="9994" max="9994" width="8.5" style="156" customWidth="1"/>
    <col min="9995" max="9995" width="7.875" style="156" customWidth="1"/>
    <col min="9996" max="9996" width="13.625" style="156" customWidth="1"/>
    <col min="9997" max="9997" width="19.125" style="156" customWidth="1"/>
    <col min="9998" max="9998" width="17.875" style="156" customWidth="1"/>
    <col min="9999" max="9999" width="13.125" style="156" bestFit="1" customWidth="1"/>
    <col min="10000" max="10001" width="9" style="156"/>
    <col min="10002" max="10003" width="11.125" style="156" customWidth="1"/>
    <col min="10004" max="10004" width="12.5" style="156" bestFit="1" customWidth="1"/>
    <col min="10005" max="10240" width="9" style="156"/>
    <col min="10241" max="10241" width="27.375" style="156" customWidth="1"/>
    <col min="10242" max="10242" width="9.25" style="156" customWidth="1"/>
    <col min="10243" max="10243" width="8.5" style="156" customWidth="1"/>
    <col min="10244" max="10245" width="9.75" style="156" customWidth="1"/>
    <col min="10246" max="10246" width="12" style="156" customWidth="1"/>
    <col min="10247" max="10247" width="11.625" style="156" customWidth="1"/>
    <col min="10248" max="10248" width="11.875" style="156" customWidth="1"/>
    <col min="10249" max="10249" width="11.625" style="156" customWidth="1"/>
    <col min="10250" max="10250" width="8.5" style="156" customWidth="1"/>
    <col min="10251" max="10251" width="7.875" style="156" customWidth="1"/>
    <col min="10252" max="10252" width="13.625" style="156" customWidth="1"/>
    <col min="10253" max="10253" width="19.125" style="156" customWidth="1"/>
    <col min="10254" max="10254" width="17.875" style="156" customWidth="1"/>
    <col min="10255" max="10255" width="13.125" style="156" bestFit="1" customWidth="1"/>
    <col min="10256" max="10257" width="9" style="156"/>
    <col min="10258" max="10259" width="11.125" style="156" customWidth="1"/>
    <col min="10260" max="10260" width="12.5" style="156" bestFit="1" customWidth="1"/>
    <col min="10261" max="10496" width="9" style="156"/>
    <col min="10497" max="10497" width="27.375" style="156" customWidth="1"/>
    <col min="10498" max="10498" width="9.25" style="156" customWidth="1"/>
    <col min="10499" max="10499" width="8.5" style="156" customWidth="1"/>
    <col min="10500" max="10501" width="9.75" style="156" customWidth="1"/>
    <col min="10502" max="10502" width="12" style="156" customWidth="1"/>
    <col min="10503" max="10503" width="11.625" style="156" customWidth="1"/>
    <col min="10504" max="10504" width="11.875" style="156" customWidth="1"/>
    <col min="10505" max="10505" width="11.625" style="156" customWidth="1"/>
    <col min="10506" max="10506" width="8.5" style="156" customWidth="1"/>
    <col min="10507" max="10507" width="7.875" style="156" customWidth="1"/>
    <col min="10508" max="10508" width="13.625" style="156" customWidth="1"/>
    <col min="10509" max="10509" width="19.125" style="156" customWidth="1"/>
    <col min="10510" max="10510" width="17.875" style="156" customWidth="1"/>
    <col min="10511" max="10511" width="13.125" style="156" bestFit="1" customWidth="1"/>
    <col min="10512" max="10513" width="9" style="156"/>
    <col min="10514" max="10515" width="11.125" style="156" customWidth="1"/>
    <col min="10516" max="10516" width="12.5" style="156" bestFit="1" customWidth="1"/>
    <col min="10517" max="10752" width="9" style="156"/>
    <col min="10753" max="10753" width="27.375" style="156" customWidth="1"/>
    <col min="10754" max="10754" width="9.25" style="156" customWidth="1"/>
    <col min="10755" max="10755" width="8.5" style="156" customWidth="1"/>
    <col min="10756" max="10757" width="9.75" style="156" customWidth="1"/>
    <col min="10758" max="10758" width="12" style="156" customWidth="1"/>
    <col min="10759" max="10759" width="11.625" style="156" customWidth="1"/>
    <col min="10760" max="10760" width="11.875" style="156" customWidth="1"/>
    <col min="10761" max="10761" width="11.625" style="156" customWidth="1"/>
    <col min="10762" max="10762" width="8.5" style="156" customWidth="1"/>
    <col min="10763" max="10763" width="7.875" style="156" customWidth="1"/>
    <col min="10764" max="10764" width="13.625" style="156" customWidth="1"/>
    <col min="10765" max="10765" width="19.125" style="156" customWidth="1"/>
    <col min="10766" max="10766" width="17.875" style="156" customWidth="1"/>
    <col min="10767" max="10767" width="13.125" style="156" bestFit="1" customWidth="1"/>
    <col min="10768" max="10769" width="9" style="156"/>
    <col min="10770" max="10771" width="11.125" style="156" customWidth="1"/>
    <col min="10772" max="10772" width="12.5" style="156" bestFit="1" customWidth="1"/>
    <col min="10773" max="11008" width="9" style="156"/>
    <col min="11009" max="11009" width="27.375" style="156" customWidth="1"/>
    <col min="11010" max="11010" width="9.25" style="156" customWidth="1"/>
    <col min="11011" max="11011" width="8.5" style="156" customWidth="1"/>
    <col min="11012" max="11013" width="9.75" style="156" customWidth="1"/>
    <col min="11014" max="11014" width="12" style="156" customWidth="1"/>
    <col min="11015" max="11015" width="11.625" style="156" customWidth="1"/>
    <col min="11016" max="11016" width="11.875" style="156" customWidth="1"/>
    <col min="11017" max="11017" width="11.625" style="156" customWidth="1"/>
    <col min="11018" max="11018" width="8.5" style="156" customWidth="1"/>
    <col min="11019" max="11019" width="7.875" style="156" customWidth="1"/>
    <col min="11020" max="11020" width="13.625" style="156" customWidth="1"/>
    <col min="11021" max="11021" width="19.125" style="156" customWidth="1"/>
    <col min="11022" max="11022" width="17.875" style="156" customWidth="1"/>
    <col min="11023" max="11023" width="13.125" style="156" bestFit="1" customWidth="1"/>
    <col min="11024" max="11025" width="9" style="156"/>
    <col min="11026" max="11027" width="11.125" style="156" customWidth="1"/>
    <col min="11028" max="11028" width="12.5" style="156" bestFit="1" customWidth="1"/>
    <col min="11029" max="11264" width="9" style="156"/>
    <col min="11265" max="11265" width="27.375" style="156" customWidth="1"/>
    <col min="11266" max="11266" width="9.25" style="156" customWidth="1"/>
    <col min="11267" max="11267" width="8.5" style="156" customWidth="1"/>
    <col min="11268" max="11269" width="9.75" style="156" customWidth="1"/>
    <col min="11270" max="11270" width="12" style="156" customWidth="1"/>
    <col min="11271" max="11271" width="11.625" style="156" customWidth="1"/>
    <col min="11272" max="11272" width="11.875" style="156" customWidth="1"/>
    <col min="11273" max="11273" width="11.625" style="156" customWidth="1"/>
    <col min="11274" max="11274" width="8.5" style="156" customWidth="1"/>
    <col min="11275" max="11275" width="7.875" style="156" customWidth="1"/>
    <col min="11276" max="11276" width="13.625" style="156" customWidth="1"/>
    <col min="11277" max="11277" width="19.125" style="156" customWidth="1"/>
    <col min="11278" max="11278" width="17.875" style="156" customWidth="1"/>
    <col min="11279" max="11279" width="13.125" style="156" bestFit="1" customWidth="1"/>
    <col min="11280" max="11281" width="9" style="156"/>
    <col min="11282" max="11283" width="11.125" style="156" customWidth="1"/>
    <col min="11284" max="11284" width="12.5" style="156" bestFit="1" customWidth="1"/>
    <col min="11285" max="11520" width="9" style="156"/>
    <col min="11521" max="11521" width="27.375" style="156" customWidth="1"/>
    <col min="11522" max="11522" width="9.25" style="156" customWidth="1"/>
    <col min="11523" max="11523" width="8.5" style="156" customWidth="1"/>
    <col min="11524" max="11525" width="9.75" style="156" customWidth="1"/>
    <col min="11526" max="11526" width="12" style="156" customWidth="1"/>
    <col min="11527" max="11527" width="11.625" style="156" customWidth="1"/>
    <col min="11528" max="11528" width="11.875" style="156" customWidth="1"/>
    <col min="11529" max="11529" width="11.625" style="156" customWidth="1"/>
    <col min="11530" max="11530" width="8.5" style="156" customWidth="1"/>
    <col min="11531" max="11531" width="7.875" style="156" customWidth="1"/>
    <col min="11532" max="11532" width="13.625" style="156" customWidth="1"/>
    <col min="11533" max="11533" width="19.125" style="156" customWidth="1"/>
    <col min="11534" max="11534" width="17.875" style="156" customWidth="1"/>
    <col min="11535" max="11535" width="13.125" style="156" bestFit="1" customWidth="1"/>
    <col min="11536" max="11537" width="9" style="156"/>
    <col min="11538" max="11539" width="11.125" style="156" customWidth="1"/>
    <col min="11540" max="11540" width="12.5" style="156" bestFit="1" customWidth="1"/>
    <col min="11541" max="11776" width="9" style="156"/>
    <col min="11777" max="11777" width="27.375" style="156" customWidth="1"/>
    <col min="11778" max="11778" width="9.25" style="156" customWidth="1"/>
    <col min="11779" max="11779" width="8.5" style="156" customWidth="1"/>
    <col min="11780" max="11781" width="9.75" style="156" customWidth="1"/>
    <col min="11782" max="11782" width="12" style="156" customWidth="1"/>
    <col min="11783" max="11783" width="11.625" style="156" customWidth="1"/>
    <col min="11784" max="11784" width="11.875" style="156" customWidth="1"/>
    <col min="11785" max="11785" width="11.625" style="156" customWidth="1"/>
    <col min="11786" max="11786" width="8.5" style="156" customWidth="1"/>
    <col min="11787" max="11787" width="7.875" style="156" customWidth="1"/>
    <col min="11788" max="11788" width="13.625" style="156" customWidth="1"/>
    <col min="11789" max="11789" width="19.125" style="156" customWidth="1"/>
    <col min="11790" max="11790" width="17.875" style="156" customWidth="1"/>
    <col min="11791" max="11791" width="13.125" style="156" bestFit="1" customWidth="1"/>
    <col min="11792" max="11793" width="9" style="156"/>
    <col min="11794" max="11795" width="11.125" style="156" customWidth="1"/>
    <col min="11796" max="11796" width="12.5" style="156" bestFit="1" customWidth="1"/>
    <col min="11797" max="12032" width="9" style="156"/>
    <col min="12033" max="12033" width="27.375" style="156" customWidth="1"/>
    <col min="12034" max="12034" width="9.25" style="156" customWidth="1"/>
    <col min="12035" max="12035" width="8.5" style="156" customWidth="1"/>
    <col min="12036" max="12037" width="9.75" style="156" customWidth="1"/>
    <col min="12038" max="12038" width="12" style="156" customWidth="1"/>
    <col min="12039" max="12039" width="11.625" style="156" customWidth="1"/>
    <col min="12040" max="12040" width="11.875" style="156" customWidth="1"/>
    <col min="12041" max="12041" width="11.625" style="156" customWidth="1"/>
    <col min="12042" max="12042" width="8.5" style="156" customWidth="1"/>
    <col min="12043" max="12043" width="7.875" style="156" customWidth="1"/>
    <col min="12044" max="12044" width="13.625" style="156" customWidth="1"/>
    <col min="12045" max="12045" width="19.125" style="156" customWidth="1"/>
    <col min="12046" max="12046" width="17.875" style="156" customWidth="1"/>
    <col min="12047" max="12047" width="13.125" style="156" bestFit="1" customWidth="1"/>
    <col min="12048" max="12049" width="9" style="156"/>
    <col min="12050" max="12051" width="11.125" style="156" customWidth="1"/>
    <col min="12052" max="12052" width="12.5" style="156" bestFit="1" customWidth="1"/>
    <col min="12053" max="12288" width="9" style="156"/>
    <col min="12289" max="12289" width="27.375" style="156" customWidth="1"/>
    <col min="12290" max="12290" width="9.25" style="156" customWidth="1"/>
    <col min="12291" max="12291" width="8.5" style="156" customWidth="1"/>
    <col min="12292" max="12293" width="9.75" style="156" customWidth="1"/>
    <col min="12294" max="12294" width="12" style="156" customWidth="1"/>
    <col min="12295" max="12295" width="11.625" style="156" customWidth="1"/>
    <col min="12296" max="12296" width="11.875" style="156" customWidth="1"/>
    <col min="12297" max="12297" width="11.625" style="156" customWidth="1"/>
    <col min="12298" max="12298" width="8.5" style="156" customWidth="1"/>
    <col min="12299" max="12299" width="7.875" style="156" customWidth="1"/>
    <col min="12300" max="12300" width="13.625" style="156" customWidth="1"/>
    <col min="12301" max="12301" width="19.125" style="156" customWidth="1"/>
    <col min="12302" max="12302" width="17.875" style="156" customWidth="1"/>
    <col min="12303" max="12303" width="13.125" style="156" bestFit="1" customWidth="1"/>
    <col min="12304" max="12305" width="9" style="156"/>
    <col min="12306" max="12307" width="11.125" style="156" customWidth="1"/>
    <col min="12308" max="12308" width="12.5" style="156" bestFit="1" customWidth="1"/>
    <col min="12309" max="12544" width="9" style="156"/>
    <col min="12545" max="12545" width="27.375" style="156" customWidth="1"/>
    <col min="12546" max="12546" width="9.25" style="156" customWidth="1"/>
    <col min="12547" max="12547" width="8.5" style="156" customWidth="1"/>
    <col min="12548" max="12549" width="9.75" style="156" customWidth="1"/>
    <col min="12550" max="12550" width="12" style="156" customWidth="1"/>
    <col min="12551" max="12551" width="11.625" style="156" customWidth="1"/>
    <col min="12552" max="12552" width="11.875" style="156" customWidth="1"/>
    <col min="12553" max="12553" width="11.625" style="156" customWidth="1"/>
    <col min="12554" max="12554" width="8.5" style="156" customWidth="1"/>
    <col min="12555" max="12555" width="7.875" style="156" customWidth="1"/>
    <col min="12556" max="12556" width="13.625" style="156" customWidth="1"/>
    <col min="12557" max="12557" width="19.125" style="156" customWidth="1"/>
    <col min="12558" max="12558" width="17.875" style="156" customWidth="1"/>
    <col min="12559" max="12559" width="13.125" style="156" bestFit="1" customWidth="1"/>
    <col min="12560" max="12561" width="9" style="156"/>
    <col min="12562" max="12563" width="11.125" style="156" customWidth="1"/>
    <col min="12564" max="12564" width="12.5" style="156" bestFit="1" customWidth="1"/>
    <col min="12565" max="12800" width="9" style="156"/>
    <col min="12801" max="12801" width="27.375" style="156" customWidth="1"/>
    <col min="12802" max="12802" width="9.25" style="156" customWidth="1"/>
    <col min="12803" max="12803" width="8.5" style="156" customWidth="1"/>
    <col min="12804" max="12805" width="9.75" style="156" customWidth="1"/>
    <col min="12806" max="12806" width="12" style="156" customWidth="1"/>
    <col min="12807" max="12807" width="11.625" style="156" customWidth="1"/>
    <col min="12808" max="12808" width="11.875" style="156" customWidth="1"/>
    <col min="12809" max="12809" width="11.625" style="156" customWidth="1"/>
    <col min="12810" max="12810" width="8.5" style="156" customWidth="1"/>
    <col min="12811" max="12811" width="7.875" style="156" customWidth="1"/>
    <col min="12812" max="12812" width="13.625" style="156" customWidth="1"/>
    <col min="12813" max="12813" width="19.125" style="156" customWidth="1"/>
    <col min="12814" max="12814" width="17.875" style="156" customWidth="1"/>
    <col min="12815" max="12815" width="13.125" style="156" bestFit="1" customWidth="1"/>
    <col min="12816" max="12817" width="9" style="156"/>
    <col min="12818" max="12819" width="11.125" style="156" customWidth="1"/>
    <col min="12820" max="12820" width="12.5" style="156" bestFit="1" customWidth="1"/>
    <col min="12821" max="13056" width="9" style="156"/>
    <col min="13057" max="13057" width="27.375" style="156" customWidth="1"/>
    <col min="13058" max="13058" width="9.25" style="156" customWidth="1"/>
    <col min="13059" max="13059" width="8.5" style="156" customWidth="1"/>
    <col min="13060" max="13061" width="9.75" style="156" customWidth="1"/>
    <col min="13062" max="13062" width="12" style="156" customWidth="1"/>
    <col min="13063" max="13063" width="11.625" style="156" customWidth="1"/>
    <col min="13064" max="13064" width="11.875" style="156" customWidth="1"/>
    <col min="13065" max="13065" width="11.625" style="156" customWidth="1"/>
    <col min="13066" max="13066" width="8.5" style="156" customWidth="1"/>
    <col min="13067" max="13067" width="7.875" style="156" customWidth="1"/>
    <col min="13068" max="13068" width="13.625" style="156" customWidth="1"/>
    <col min="13069" max="13069" width="19.125" style="156" customWidth="1"/>
    <col min="13070" max="13070" width="17.875" style="156" customWidth="1"/>
    <col min="13071" max="13071" width="13.125" style="156" bestFit="1" customWidth="1"/>
    <col min="13072" max="13073" width="9" style="156"/>
    <col min="13074" max="13075" width="11.125" style="156" customWidth="1"/>
    <col min="13076" max="13076" width="12.5" style="156" bestFit="1" customWidth="1"/>
    <col min="13077" max="13312" width="9" style="156"/>
    <col min="13313" max="13313" width="27.375" style="156" customWidth="1"/>
    <col min="13314" max="13314" width="9.25" style="156" customWidth="1"/>
    <col min="13315" max="13315" width="8.5" style="156" customWidth="1"/>
    <col min="13316" max="13317" width="9.75" style="156" customWidth="1"/>
    <col min="13318" max="13318" width="12" style="156" customWidth="1"/>
    <col min="13319" max="13319" width="11.625" style="156" customWidth="1"/>
    <col min="13320" max="13320" width="11.875" style="156" customWidth="1"/>
    <col min="13321" max="13321" width="11.625" style="156" customWidth="1"/>
    <col min="13322" max="13322" width="8.5" style="156" customWidth="1"/>
    <col min="13323" max="13323" width="7.875" style="156" customWidth="1"/>
    <col min="13324" max="13324" width="13.625" style="156" customWidth="1"/>
    <col min="13325" max="13325" width="19.125" style="156" customWidth="1"/>
    <col min="13326" max="13326" width="17.875" style="156" customWidth="1"/>
    <col min="13327" max="13327" width="13.125" style="156" bestFit="1" customWidth="1"/>
    <col min="13328" max="13329" width="9" style="156"/>
    <col min="13330" max="13331" width="11.125" style="156" customWidth="1"/>
    <col min="13332" max="13332" width="12.5" style="156" bestFit="1" customWidth="1"/>
    <col min="13333" max="13568" width="9" style="156"/>
    <col min="13569" max="13569" width="27.375" style="156" customWidth="1"/>
    <col min="13570" max="13570" width="9.25" style="156" customWidth="1"/>
    <col min="13571" max="13571" width="8.5" style="156" customWidth="1"/>
    <col min="13572" max="13573" width="9.75" style="156" customWidth="1"/>
    <col min="13574" max="13574" width="12" style="156" customWidth="1"/>
    <col min="13575" max="13575" width="11.625" style="156" customWidth="1"/>
    <col min="13576" max="13576" width="11.875" style="156" customWidth="1"/>
    <col min="13577" max="13577" width="11.625" style="156" customWidth="1"/>
    <col min="13578" max="13578" width="8.5" style="156" customWidth="1"/>
    <col min="13579" max="13579" width="7.875" style="156" customWidth="1"/>
    <col min="13580" max="13580" width="13.625" style="156" customWidth="1"/>
    <col min="13581" max="13581" width="19.125" style="156" customWidth="1"/>
    <col min="13582" max="13582" width="17.875" style="156" customWidth="1"/>
    <col min="13583" max="13583" width="13.125" style="156" bestFit="1" customWidth="1"/>
    <col min="13584" max="13585" width="9" style="156"/>
    <col min="13586" max="13587" width="11.125" style="156" customWidth="1"/>
    <col min="13588" max="13588" width="12.5" style="156" bestFit="1" customWidth="1"/>
    <col min="13589" max="13824" width="9" style="156"/>
    <col min="13825" max="13825" width="27.375" style="156" customWidth="1"/>
    <col min="13826" max="13826" width="9.25" style="156" customWidth="1"/>
    <col min="13827" max="13827" width="8.5" style="156" customWidth="1"/>
    <col min="13828" max="13829" width="9.75" style="156" customWidth="1"/>
    <col min="13830" max="13830" width="12" style="156" customWidth="1"/>
    <col min="13831" max="13831" width="11.625" style="156" customWidth="1"/>
    <col min="13832" max="13832" width="11.875" style="156" customWidth="1"/>
    <col min="13833" max="13833" width="11.625" style="156" customWidth="1"/>
    <col min="13834" max="13834" width="8.5" style="156" customWidth="1"/>
    <col min="13835" max="13835" width="7.875" style="156" customWidth="1"/>
    <col min="13836" max="13836" width="13.625" style="156" customWidth="1"/>
    <col min="13837" max="13837" width="19.125" style="156" customWidth="1"/>
    <col min="13838" max="13838" width="17.875" style="156" customWidth="1"/>
    <col min="13839" max="13839" width="13.125" style="156" bestFit="1" customWidth="1"/>
    <col min="13840" max="13841" width="9" style="156"/>
    <col min="13842" max="13843" width="11.125" style="156" customWidth="1"/>
    <col min="13844" max="13844" width="12.5" style="156" bestFit="1" customWidth="1"/>
    <col min="13845" max="14080" width="9" style="156"/>
    <col min="14081" max="14081" width="27.375" style="156" customWidth="1"/>
    <col min="14082" max="14082" width="9.25" style="156" customWidth="1"/>
    <col min="14083" max="14083" width="8.5" style="156" customWidth="1"/>
    <col min="14084" max="14085" width="9.75" style="156" customWidth="1"/>
    <col min="14086" max="14086" width="12" style="156" customWidth="1"/>
    <col min="14087" max="14087" width="11.625" style="156" customWidth="1"/>
    <col min="14088" max="14088" width="11.875" style="156" customWidth="1"/>
    <col min="14089" max="14089" width="11.625" style="156" customWidth="1"/>
    <col min="14090" max="14090" width="8.5" style="156" customWidth="1"/>
    <col min="14091" max="14091" width="7.875" style="156" customWidth="1"/>
    <col min="14092" max="14092" width="13.625" style="156" customWidth="1"/>
    <col min="14093" max="14093" width="19.125" style="156" customWidth="1"/>
    <col min="14094" max="14094" width="17.875" style="156" customWidth="1"/>
    <col min="14095" max="14095" width="13.125" style="156" bestFit="1" customWidth="1"/>
    <col min="14096" max="14097" width="9" style="156"/>
    <col min="14098" max="14099" width="11.125" style="156" customWidth="1"/>
    <col min="14100" max="14100" width="12.5" style="156" bestFit="1" customWidth="1"/>
    <col min="14101" max="14336" width="9" style="156"/>
    <col min="14337" max="14337" width="27.375" style="156" customWidth="1"/>
    <col min="14338" max="14338" width="9.25" style="156" customWidth="1"/>
    <col min="14339" max="14339" width="8.5" style="156" customWidth="1"/>
    <col min="14340" max="14341" width="9.75" style="156" customWidth="1"/>
    <col min="14342" max="14342" width="12" style="156" customWidth="1"/>
    <col min="14343" max="14343" width="11.625" style="156" customWidth="1"/>
    <col min="14344" max="14344" width="11.875" style="156" customWidth="1"/>
    <col min="14345" max="14345" width="11.625" style="156" customWidth="1"/>
    <col min="14346" max="14346" width="8.5" style="156" customWidth="1"/>
    <col min="14347" max="14347" width="7.875" style="156" customWidth="1"/>
    <col min="14348" max="14348" width="13.625" style="156" customWidth="1"/>
    <col min="14349" max="14349" width="19.125" style="156" customWidth="1"/>
    <col min="14350" max="14350" width="17.875" style="156" customWidth="1"/>
    <col min="14351" max="14351" width="13.125" style="156" bestFit="1" customWidth="1"/>
    <col min="14352" max="14353" width="9" style="156"/>
    <col min="14354" max="14355" width="11.125" style="156" customWidth="1"/>
    <col min="14356" max="14356" width="12.5" style="156" bestFit="1" customWidth="1"/>
    <col min="14357" max="14592" width="9" style="156"/>
    <col min="14593" max="14593" width="27.375" style="156" customWidth="1"/>
    <col min="14594" max="14594" width="9.25" style="156" customWidth="1"/>
    <col min="14595" max="14595" width="8.5" style="156" customWidth="1"/>
    <col min="14596" max="14597" width="9.75" style="156" customWidth="1"/>
    <col min="14598" max="14598" width="12" style="156" customWidth="1"/>
    <col min="14599" max="14599" width="11.625" style="156" customWidth="1"/>
    <col min="14600" max="14600" width="11.875" style="156" customWidth="1"/>
    <col min="14601" max="14601" width="11.625" style="156" customWidth="1"/>
    <col min="14602" max="14602" width="8.5" style="156" customWidth="1"/>
    <col min="14603" max="14603" width="7.875" style="156" customWidth="1"/>
    <col min="14604" max="14604" width="13.625" style="156" customWidth="1"/>
    <col min="14605" max="14605" width="19.125" style="156" customWidth="1"/>
    <col min="14606" max="14606" width="17.875" style="156" customWidth="1"/>
    <col min="14607" max="14607" width="13.125" style="156" bestFit="1" customWidth="1"/>
    <col min="14608" max="14609" width="9" style="156"/>
    <col min="14610" max="14611" width="11.125" style="156" customWidth="1"/>
    <col min="14612" max="14612" width="12.5" style="156" bestFit="1" customWidth="1"/>
    <col min="14613" max="14848" width="9" style="156"/>
    <col min="14849" max="14849" width="27.375" style="156" customWidth="1"/>
    <col min="14850" max="14850" width="9.25" style="156" customWidth="1"/>
    <col min="14851" max="14851" width="8.5" style="156" customWidth="1"/>
    <col min="14852" max="14853" width="9.75" style="156" customWidth="1"/>
    <col min="14854" max="14854" width="12" style="156" customWidth="1"/>
    <col min="14855" max="14855" width="11.625" style="156" customWidth="1"/>
    <col min="14856" max="14856" width="11.875" style="156" customWidth="1"/>
    <col min="14857" max="14857" width="11.625" style="156" customWidth="1"/>
    <col min="14858" max="14858" width="8.5" style="156" customWidth="1"/>
    <col min="14859" max="14859" width="7.875" style="156" customWidth="1"/>
    <col min="14860" max="14860" width="13.625" style="156" customWidth="1"/>
    <col min="14861" max="14861" width="19.125" style="156" customWidth="1"/>
    <col min="14862" max="14862" width="17.875" style="156" customWidth="1"/>
    <col min="14863" max="14863" width="13.125" style="156" bestFit="1" customWidth="1"/>
    <col min="14864" max="14865" width="9" style="156"/>
    <col min="14866" max="14867" width="11.125" style="156" customWidth="1"/>
    <col min="14868" max="14868" width="12.5" style="156" bestFit="1" customWidth="1"/>
    <col min="14869" max="15104" width="9" style="156"/>
    <col min="15105" max="15105" width="27.375" style="156" customWidth="1"/>
    <col min="15106" max="15106" width="9.25" style="156" customWidth="1"/>
    <col min="15107" max="15107" width="8.5" style="156" customWidth="1"/>
    <col min="15108" max="15109" width="9.75" style="156" customWidth="1"/>
    <col min="15110" max="15110" width="12" style="156" customWidth="1"/>
    <col min="15111" max="15111" width="11.625" style="156" customWidth="1"/>
    <col min="15112" max="15112" width="11.875" style="156" customWidth="1"/>
    <col min="15113" max="15113" width="11.625" style="156" customWidth="1"/>
    <col min="15114" max="15114" width="8.5" style="156" customWidth="1"/>
    <col min="15115" max="15115" width="7.875" style="156" customWidth="1"/>
    <col min="15116" max="15116" width="13.625" style="156" customWidth="1"/>
    <col min="15117" max="15117" width="19.125" style="156" customWidth="1"/>
    <col min="15118" max="15118" width="17.875" style="156" customWidth="1"/>
    <col min="15119" max="15119" width="13.125" style="156" bestFit="1" customWidth="1"/>
    <col min="15120" max="15121" width="9" style="156"/>
    <col min="15122" max="15123" width="11.125" style="156" customWidth="1"/>
    <col min="15124" max="15124" width="12.5" style="156" bestFit="1" customWidth="1"/>
    <col min="15125" max="15360" width="9" style="156"/>
    <col min="15361" max="15361" width="27.375" style="156" customWidth="1"/>
    <col min="15362" max="15362" width="9.25" style="156" customWidth="1"/>
    <col min="15363" max="15363" width="8.5" style="156" customWidth="1"/>
    <col min="15364" max="15365" width="9.75" style="156" customWidth="1"/>
    <col min="15366" max="15366" width="12" style="156" customWidth="1"/>
    <col min="15367" max="15367" width="11.625" style="156" customWidth="1"/>
    <col min="15368" max="15368" width="11.875" style="156" customWidth="1"/>
    <col min="15369" max="15369" width="11.625" style="156" customWidth="1"/>
    <col min="15370" max="15370" width="8.5" style="156" customWidth="1"/>
    <col min="15371" max="15371" width="7.875" style="156" customWidth="1"/>
    <col min="15372" max="15372" width="13.625" style="156" customWidth="1"/>
    <col min="15373" max="15373" width="19.125" style="156" customWidth="1"/>
    <col min="15374" max="15374" width="17.875" style="156" customWidth="1"/>
    <col min="15375" max="15375" width="13.125" style="156" bestFit="1" customWidth="1"/>
    <col min="15376" max="15377" width="9" style="156"/>
    <col min="15378" max="15379" width="11.125" style="156" customWidth="1"/>
    <col min="15380" max="15380" width="12.5" style="156" bestFit="1" customWidth="1"/>
    <col min="15381" max="15616" width="9" style="156"/>
    <col min="15617" max="15617" width="27.375" style="156" customWidth="1"/>
    <col min="15618" max="15618" width="9.25" style="156" customWidth="1"/>
    <col min="15619" max="15619" width="8.5" style="156" customWidth="1"/>
    <col min="15620" max="15621" width="9.75" style="156" customWidth="1"/>
    <col min="15622" max="15622" width="12" style="156" customWidth="1"/>
    <col min="15623" max="15623" width="11.625" style="156" customWidth="1"/>
    <col min="15624" max="15624" width="11.875" style="156" customWidth="1"/>
    <col min="15625" max="15625" width="11.625" style="156" customWidth="1"/>
    <col min="15626" max="15626" width="8.5" style="156" customWidth="1"/>
    <col min="15627" max="15627" width="7.875" style="156" customWidth="1"/>
    <col min="15628" max="15628" width="13.625" style="156" customWidth="1"/>
    <col min="15629" max="15629" width="19.125" style="156" customWidth="1"/>
    <col min="15630" max="15630" width="17.875" style="156" customWidth="1"/>
    <col min="15631" max="15631" width="13.125" style="156" bestFit="1" customWidth="1"/>
    <col min="15632" max="15633" width="9" style="156"/>
    <col min="15634" max="15635" width="11.125" style="156" customWidth="1"/>
    <col min="15636" max="15636" width="12.5" style="156" bestFit="1" customWidth="1"/>
    <col min="15637" max="15872" width="9" style="156"/>
    <col min="15873" max="15873" width="27.375" style="156" customWidth="1"/>
    <col min="15874" max="15874" width="9.25" style="156" customWidth="1"/>
    <col min="15875" max="15875" width="8.5" style="156" customWidth="1"/>
    <col min="15876" max="15877" width="9.75" style="156" customWidth="1"/>
    <col min="15878" max="15878" width="12" style="156" customWidth="1"/>
    <col min="15879" max="15879" width="11.625" style="156" customWidth="1"/>
    <col min="15880" max="15880" width="11.875" style="156" customWidth="1"/>
    <col min="15881" max="15881" width="11.625" style="156" customWidth="1"/>
    <col min="15882" max="15882" width="8.5" style="156" customWidth="1"/>
    <col min="15883" max="15883" width="7.875" style="156" customWidth="1"/>
    <col min="15884" max="15884" width="13.625" style="156" customWidth="1"/>
    <col min="15885" max="15885" width="19.125" style="156" customWidth="1"/>
    <col min="15886" max="15886" width="17.875" style="156" customWidth="1"/>
    <col min="15887" max="15887" width="13.125" style="156" bestFit="1" customWidth="1"/>
    <col min="15888" max="15889" width="9" style="156"/>
    <col min="15890" max="15891" width="11.125" style="156" customWidth="1"/>
    <col min="15892" max="15892" width="12.5" style="156" bestFit="1" customWidth="1"/>
    <col min="15893" max="16128" width="9" style="156"/>
    <col min="16129" max="16129" width="27.375" style="156" customWidth="1"/>
    <col min="16130" max="16130" width="9.25" style="156" customWidth="1"/>
    <col min="16131" max="16131" width="8.5" style="156" customWidth="1"/>
    <col min="16132" max="16133" width="9.75" style="156" customWidth="1"/>
    <col min="16134" max="16134" width="12" style="156" customWidth="1"/>
    <col min="16135" max="16135" width="11.625" style="156" customWidth="1"/>
    <col min="16136" max="16136" width="11.875" style="156" customWidth="1"/>
    <col min="16137" max="16137" width="11.625" style="156" customWidth="1"/>
    <col min="16138" max="16138" width="8.5" style="156" customWidth="1"/>
    <col min="16139" max="16139" width="7.875" style="156" customWidth="1"/>
    <col min="16140" max="16140" width="13.625" style="156" customWidth="1"/>
    <col min="16141" max="16141" width="19.125" style="156" customWidth="1"/>
    <col min="16142" max="16142" width="17.875" style="156" customWidth="1"/>
    <col min="16143" max="16143" width="13.125" style="156" bestFit="1" customWidth="1"/>
    <col min="16144" max="16145" width="9" style="156"/>
    <col min="16146" max="16147" width="11.125" style="156" customWidth="1"/>
    <col min="16148" max="16148" width="12.5" style="156" bestFit="1" customWidth="1"/>
    <col min="16149" max="16384" width="9" style="156"/>
  </cols>
  <sheetData>
    <row r="1" spans="1:22" ht="57.75" customHeight="1" thickBot="1">
      <c r="A1" s="160" t="s">
        <v>620</v>
      </c>
      <c r="E1" s="1128" t="s">
        <v>380</v>
      </c>
      <c r="F1" s="1129"/>
      <c r="G1" s="1129"/>
      <c r="H1" s="1129"/>
      <c r="I1" s="1129"/>
      <c r="J1" s="1129"/>
      <c r="K1" s="1129"/>
      <c r="L1" s="1129"/>
      <c r="M1" s="1130"/>
      <c r="N1" s="280"/>
      <c r="O1" s="281"/>
    </row>
    <row r="2" spans="1:22" ht="15" customHeight="1">
      <c r="E2" s="158"/>
      <c r="F2" s="158"/>
      <c r="G2" s="158"/>
      <c r="H2" s="158"/>
      <c r="I2" s="158"/>
      <c r="J2" s="158"/>
      <c r="K2" s="282"/>
      <c r="L2" s="283"/>
    </row>
    <row r="3" spans="1:22" ht="15" customHeight="1" thickBot="1">
      <c r="E3" s="158"/>
      <c r="F3" s="129" t="s">
        <v>128</v>
      </c>
      <c r="G3" s="158"/>
      <c r="H3" s="158"/>
      <c r="I3" s="158"/>
      <c r="J3" s="158"/>
      <c r="K3" s="282"/>
      <c r="L3" s="286"/>
    </row>
    <row r="4" spans="1:22" ht="18" customHeight="1">
      <c r="A4" s="1148" t="s">
        <v>129</v>
      </c>
      <c r="B4" s="1148" t="s">
        <v>130</v>
      </c>
      <c r="C4" s="1148"/>
      <c r="D4" s="1148"/>
      <c r="E4" s="1148" t="s">
        <v>131</v>
      </c>
      <c r="F4" s="1148" t="s">
        <v>132</v>
      </c>
      <c r="G4" s="158"/>
      <c r="H4" s="1149" t="s">
        <v>133</v>
      </c>
      <c r="I4" s="1151">
        <f>'자기평가서(2단계-종합기술제안서 정량평가)'!K4</f>
        <v>45972</v>
      </c>
    </row>
    <row r="5" spans="1:22" ht="18" customHeight="1">
      <c r="A5" s="1148"/>
      <c r="B5" s="289" t="s">
        <v>134</v>
      </c>
      <c r="C5" s="289" t="s">
        <v>135</v>
      </c>
      <c r="D5" s="289" t="s">
        <v>136</v>
      </c>
      <c r="E5" s="1148"/>
      <c r="F5" s="1148"/>
      <c r="G5" s="158"/>
      <c r="H5" s="1150"/>
      <c r="I5" s="1152"/>
    </row>
    <row r="6" spans="1:22" ht="18" customHeight="1">
      <c r="A6" s="290" t="str">
        <f>참여업체!C5</f>
        <v>A</v>
      </c>
      <c r="B6" s="291">
        <f>(M17+M75)/100000</f>
        <v>0</v>
      </c>
      <c r="C6" s="291">
        <f>(M34+M90)/100000</f>
        <v>0</v>
      </c>
      <c r="D6" s="291">
        <f>SUM(B6:C6)</f>
        <v>0</v>
      </c>
      <c r="E6" s="292">
        <f>참여업체!C6</f>
        <v>0.57999999999999996</v>
      </c>
      <c r="F6" s="291">
        <f>D6*E6</f>
        <v>0</v>
      </c>
      <c r="G6" s="158"/>
      <c r="H6" s="293" t="s">
        <v>137</v>
      </c>
      <c r="I6" s="294">
        <f>I4-365*3+1</f>
        <v>44878</v>
      </c>
      <c r="J6" s="295"/>
      <c r="K6" s="282"/>
    </row>
    <row r="7" spans="1:22" ht="18" customHeight="1" thickBot="1">
      <c r="A7" s="290" t="str">
        <f>참여업체!D5</f>
        <v>B</v>
      </c>
      <c r="B7" s="291">
        <f>(M97+M133)/100000</f>
        <v>0</v>
      </c>
      <c r="C7" s="291">
        <f>(M104+M159)/100000</f>
        <v>0</v>
      </c>
      <c r="D7" s="291">
        <f>SUM(B7:C7)</f>
        <v>0</v>
      </c>
      <c r="E7" s="292">
        <f>참여업체!D6</f>
        <v>0.28000000000000003</v>
      </c>
      <c r="F7" s="291">
        <f>D7*E7</f>
        <v>0</v>
      </c>
      <c r="G7" s="158"/>
      <c r="H7" s="296" t="s">
        <v>138</v>
      </c>
      <c r="I7" s="297">
        <f>I4</f>
        <v>45972</v>
      </c>
      <c r="J7" s="158"/>
      <c r="K7" s="282"/>
    </row>
    <row r="8" spans="1:22" ht="18" customHeight="1">
      <c r="A8" s="290" t="str">
        <f>참여업체!E5</f>
        <v>C</v>
      </c>
      <c r="B8" s="291">
        <f>(M168+M177)/100000</f>
        <v>0</v>
      </c>
      <c r="C8" s="291">
        <f>(M171+M180)/100000</f>
        <v>0</v>
      </c>
      <c r="D8" s="291">
        <f>SUM(B8:C8)</f>
        <v>0</v>
      </c>
      <c r="E8" s="292">
        <f>참여업체!E6</f>
        <v>0.14000000000000001</v>
      </c>
      <c r="F8" s="291">
        <f>D8*E8</f>
        <v>0</v>
      </c>
      <c r="G8" s="158"/>
      <c r="H8" s="158"/>
      <c r="I8" s="158"/>
      <c r="J8" s="158"/>
      <c r="K8" s="282"/>
      <c r="L8" s="286"/>
    </row>
    <row r="9" spans="1:22" ht="18" hidden="1" customHeight="1">
      <c r="A9" s="290">
        <f>참여업체!F5</f>
        <v>0</v>
      </c>
      <c r="B9" s="291">
        <f>(M206+M251)/100000</f>
        <v>0</v>
      </c>
      <c r="C9" s="291">
        <f>(M206+M227)/100000</f>
        <v>0</v>
      </c>
      <c r="D9" s="291">
        <f>SUM(B9:C9)</f>
        <v>0</v>
      </c>
      <c r="E9" s="292">
        <f>참여업체!F6</f>
        <v>0</v>
      </c>
      <c r="F9" s="291">
        <f>D9*E9</f>
        <v>0</v>
      </c>
      <c r="G9" s="158"/>
      <c r="H9" s="158"/>
      <c r="I9" s="158"/>
      <c r="J9" s="158"/>
      <c r="K9" s="282"/>
      <c r="L9" s="286"/>
    </row>
    <row r="10" spans="1:22" ht="18" hidden="1" customHeight="1">
      <c r="A10" s="290">
        <f>참여업체!G5</f>
        <v>0</v>
      </c>
      <c r="B10" s="291">
        <f>(M299+M344)/100000</f>
        <v>0</v>
      </c>
      <c r="C10" s="291">
        <f>(M320+M365)/100000</f>
        <v>0</v>
      </c>
      <c r="D10" s="291">
        <f>SUM(B10:C10)</f>
        <v>0</v>
      </c>
      <c r="E10" s="292">
        <f>참여업체!G6</f>
        <v>0</v>
      </c>
      <c r="F10" s="291">
        <f>D10*E10</f>
        <v>0</v>
      </c>
      <c r="G10" s="159"/>
      <c r="H10" s="158"/>
      <c r="I10" s="158"/>
      <c r="J10" s="158"/>
      <c r="K10" s="282"/>
      <c r="L10" s="286"/>
    </row>
    <row r="11" spans="1:22" ht="18" customHeight="1">
      <c r="A11" s="290" t="s">
        <v>116</v>
      </c>
      <c r="B11" s="291">
        <f>SUM(B6:B10)</f>
        <v>0</v>
      </c>
      <c r="C11" s="291">
        <f t="shared" ref="C11" si="0">SUM(C6:C10)</f>
        <v>0</v>
      </c>
      <c r="D11" s="291">
        <f>SUM(D6:D10)</f>
        <v>0</v>
      </c>
      <c r="E11" s="291"/>
      <c r="F11" s="291">
        <f>SUM(F6:F10)</f>
        <v>0</v>
      </c>
      <c r="G11" s="158"/>
      <c r="H11" s="158"/>
      <c r="I11" s="158"/>
      <c r="J11" s="158"/>
      <c r="K11" s="282"/>
      <c r="L11" s="158"/>
      <c r="M11" s="298"/>
      <c r="N11" s="298"/>
    </row>
    <row r="12" spans="1:22" ht="18" customHeight="1">
      <c r="A12" s="299"/>
      <c r="B12" s="300"/>
      <c r="C12" s="300"/>
      <c r="D12" s="300"/>
      <c r="E12" s="299"/>
      <c r="F12" s="301"/>
      <c r="G12" s="158"/>
      <c r="H12" s="158"/>
      <c r="I12" s="158"/>
      <c r="J12" s="158"/>
      <c r="K12" s="282"/>
      <c r="L12" s="158"/>
      <c r="M12" s="298"/>
      <c r="N12" s="298"/>
    </row>
    <row r="13" spans="1:22" ht="27.75" customHeight="1">
      <c r="A13" s="302" t="s">
        <v>139</v>
      </c>
      <c r="B13" s="302"/>
      <c r="C13" s="302"/>
      <c r="D13" s="158"/>
      <c r="E13" s="1121" t="str">
        <f>A6</f>
        <v>A</v>
      </c>
      <c r="F13" s="1121"/>
      <c r="G13" s="1121"/>
      <c r="H13" s="1121"/>
      <c r="I13" s="1121"/>
      <c r="J13" s="1121"/>
      <c r="K13" s="1121"/>
      <c r="L13" s="286"/>
      <c r="M13" s="318" t="s">
        <v>140</v>
      </c>
      <c r="N13" s="303" t="s">
        <v>308</v>
      </c>
    </row>
    <row r="14" spans="1:22" ht="18" customHeight="1">
      <c r="A14" s="1153" t="s">
        <v>115</v>
      </c>
      <c r="B14" s="1095" t="s">
        <v>141</v>
      </c>
      <c r="C14" s="1095"/>
      <c r="D14" s="1095" t="s">
        <v>142</v>
      </c>
      <c r="E14" s="1095" t="s">
        <v>143</v>
      </c>
      <c r="F14" s="1113" t="s">
        <v>144</v>
      </c>
      <c r="G14" s="1113"/>
      <c r="H14" s="1113" t="s">
        <v>145</v>
      </c>
      <c r="I14" s="1113"/>
      <c r="J14" s="1114" t="s">
        <v>146</v>
      </c>
      <c r="K14" s="1116" t="s">
        <v>147</v>
      </c>
      <c r="L14" s="1118" t="s">
        <v>148</v>
      </c>
      <c r="M14" s="1106" t="s">
        <v>149</v>
      </c>
      <c r="N14" s="1108" t="s">
        <v>307</v>
      </c>
    </row>
    <row r="15" spans="1:22" ht="18" customHeight="1">
      <c r="A15" s="1107"/>
      <c r="B15" s="1095"/>
      <c r="C15" s="1095"/>
      <c r="D15" s="1095"/>
      <c r="E15" s="1095"/>
      <c r="F15" s="304" t="s">
        <v>150</v>
      </c>
      <c r="G15" s="304" t="s">
        <v>151</v>
      </c>
      <c r="H15" s="304" t="s">
        <v>152</v>
      </c>
      <c r="I15" s="304" t="s">
        <v>153</v>
      </c>
      <c r="J15" s="1115"/>
      <c r="K15" s="1117"/>
      <c r="L15" s="1119"/>
      <c r="M15" s="1107"/>
      <c r="N15" s="1109"/>
      <c r="P15" s="305"/>
      <c r="Q15" s="305"/>
    </row>
    <row r="16" spans="1:22" ht="44.25" customHeight="1">
      <c r="A16" s="1088" t="str">
        <f>A6</f>
        <v>A</v>
      </c>
      <c r="B16" s="1085" t="s">
        <v>154</v>
      </c>
      <c r="C16" s="593" t="s">
        <v>504</v>
      </c>
      <c r="D16" s="594"/>
      <c r="E16" s="594"/>
      <c r="F16" s="307"/>
      <c r="G16" s="307"/>
      <c r="H16" s="308">
        <f t="shared" ref="H16" si="1">IF(F16&lt;=$I$6,$I$6,F16)</f>
        <v>44878</v>
      </c>
      <c r="I16" s="308">
        <f t="shared" ref="I16" si="2">IF(G16&lt;=$I$7,G16,$I$7)</f>
        <v>0</v>
      </c>
      <c r="J16" s="309" t="str">
        <f t="shared" ref="J16" si="3">IF(F16="","",G16-F16+1)</f>
        <v/>
      </c>
      <c r="K16" s="310" t="str">
        <f t="shared" ref="K16" si="4">IF(F16="","",I16-H16+1)</f>
        <v/>
      </c>
      <c r="L16" s="311"/>
      <c r="M16" s="312" t="str">
        <f t="shared" ref="M16" si="5">IF(F16="","",L16*K16/J16)</f>
        <v/>
      </c>
      <c r="N16" s="199">
        <v>21</v>
      </c>
      <c r="P16" s="305"/>
      <c r="Q16" s="313"/>
      <c r="R16" s="305"/>
      <c r="S16" s="305"/>
      <c r="T16" s="313"/>
      <c r="U16" s="314"/>
      <c r="V16" s="314"/>
    </row>
    <row r="17" spans="1:22" ht="18" customHeight="1">
      <c r="A17" s="1089"/>
      <c r="B17" s="1086"/>
      <c r="C17" s="1098" t="s">
        <v>102</v>
      </c>
      <c r="D17" s="1098"/>
      <c r="E17" s="1098"/>
      <c r="F17" s="1098"/>
      <c r="G17" s="1098"/>
      <c r="H17" s="1098"/>
      <c r="I17" s="1098"/>
      <c r="J17" s="1098"/>
      <c r="K17" s="1098"/>
      <c r="L17" s="1098"/>
      <c r="M17" s="315">
        <f>SUM(M16:M16)</f>
        <v>0</v>
      </c>
      <c r="N17" s="316"/>
    </row>
    <row r="18" spans="1:22" ht="44.25" customHeight="1">
      <c r="A18" s="1089"/>
      <c r="B18" s="1086"/>
      <c r="C18" s="1091" t="s">
        <v>505</v>
      </c>
      <c r="D18" s="622"/>
      <c r="E18" s="622"/>
      <c r="F18" s="307"/>
      <c r="G18" s="307"/>
      <c r="H18" s="308">
        <f t="shared" ref="H18:H30" si="6">IF(F18&lt;=$I$6,$I$6,F18)</f>
        <v>44878</v>
      </c>
      <c r="I18" s="308">
        <f t="shared" ref="I18:I30" si="7">IF(G18&lt;=$I$7,G18,$I$7)</f>
        <v>0</v>
      </c>
      <c r="J18" s="309" t="str">
        <f t="shared" ref="J18:J30" si="8">IF(F18="","",G18-F18+1)</f>
        <v/>
      </c>
      <c r="K18" s="310" t="str">
        <f t="shared" ref="K18:K30" si="9">IF(F18="","",I18-H18+1)</f>
        <v/>
      </c>
      <c r="L18" s="311"/>
      <c r="M18" s="312" t="str">
        <f t="shared" ref="M18:M30" si="10">IF(F18="","",L18*K18/J18)</f>
        <v/>
      </c>
      <c r="N18" s="199">
        <v>12</v>
      </c>
      <c r="P18" s="305"/>
      <c r="Q18" s="313"/>
      <c r="R18" s="305"/>
      <c r="S18" s="305"/>
      <c r="T18" s="313"/>
      <c r="U18" s="314"/>
      <c r="V18" s="314"/>
    </row>
    <row r="19" spans="1:22" ht="44.25" customHeight="1">
      <c r="A19" s="1089"/>
      <c r="B19" s="1086"/>
      <c r="C19" s="1092"/>
      <c r="D19" s="594"/>
      <c r="E19" s="594"/>
      <c r="F19" s="307"/>
      <c r="G19" s="307"/>
      <c r="H19" s="308">
        <f t="shared" si="6"/>
        <v>44878</v>
      </c>
      <c r="I19" s="308">
        <f t="shared" si="7"/>
        <v>0</v>
      </c>
      <c r="J19" s="309" t="str">
        <f t="shared" si="8"/>
        <v/>
      </c>
      <c r="K19" s="310" t="str">
        <f t="shared" si="9"/>
        <v/>
      </c>
      <c r="L19" s="311"/>
      <c r="M19" s="312" t="str">
        <f t="shared" si="10"/>
        <v/>
      </c>
      <c r="N19" s="199">
        <v>13</v>
      </c>
      <c r="P19" s="305"/>
      <c r="Q19" s="313"/>
      <c r="R19" s="305"/>
      <c r="S19" s="305"/>
      <c r="T19" s="313"/>
      <c r="U19" s="314"/>
      <c r="V19" s="314"/>
    </row>
    <row r="20" spans="1:22" ht="44.25" customHeight="1">
      <c r="A20" s="1089"/>
      <c r="B20" s="1086"/>
      <c r="C20" s="1092"/>
      <c r="D20" s="594"/>
      <c r="E20" s="594"/>
      <c r="F20" s="307"/>
      <c r="G20" s="307"/>
      <c r="H20" s="308">
        <f t="shared" si="6"/>
        <v>44878</v>
      </c>
      <c r="I20" s="308">
        <f t="shared" si="7"/>
        <v>0</v>
      </c>
      <c r="J20" s="309" t="str">
        <f t="shared" si="8"/>
        <v/>
      </c>
      <c r="K20" s="310" t="str">
        <f t="shared" si="9"/>
        <v/>
      </c>
      <c r="L20" s="311"/>
      <c r="M20" s="312" t="str">
        <f t="shared" si="10"/>
        <v/>
      </c>
      <c r="N20" s="199">
        <v>17</v>
      </c>
      <c r="P20" s="305"/>
      <c r="Q20" s="313"/>
      <c r="R20" s="305"/>
      <c r="S20" s="305"/>
      <c r="T20" s="313"/>
      <c r="U20" s="314"/>
      <c r="V20" s="314"/>
    </row>
    <row r="21" spans="1:22" ht="44.25" customHeight="1">
      <c r="A21" s="1089"/>
      <c r="B21" s="1086"/>
      <c r="C21" s="1092"/>
      <c r="D21" s="594"/>
      <c r="E21" s="594"/>
      <c r="F21" s="307"/>
      <c r="G21" s="307"/>
      <c r="H21" s="308">
        <f t="shared" ref="H21" si="11">IF(F21&lt;=$I$6,$I$6,F21)</f>
        <v>44878</v>
      </c>
      <c r="I21" s="308">
        <f t="shared" ref="I21" si="12">IF(G21&lt;=$I$7,G21,$I$7)</f>
        <v>0</v>
      </c>
      <c r="J21" s="309" t="str">
        <f t="shared" ref="J21" si="13">IF(F21="","",G21-F21+1)</f>
        <v/>
      </c>
      <c r="K21" s="310" t="str">
        <f t="shared" ref="K21" si="14">IF(F21="","",I21-H21+1)</f>
        <v/>
      </c>
      <c r="L21" s="311"/>
      <c r="M21" s="312" t="str">
        <f t="shared" ref="M21" si="15">IF(F21="","",L21*K21/J21)</f>
        <v/>
      </c>
      <c r="N21" s="199">
        <v>18</v>
      </c>
      <c r="P21" s="305"/>
      <c r="Q21" s="313"/>
      <c r="R21" s="305"/>
      <c r="S21" s="305"/>
      <c r="T21" s="313"/>
      <c r="U21" s="314"/>
      <c r="V21" s="314"/>
    </row>
    <row r="22" spans="1:22" ht="44.25" customHeight="1">
      <c r="A22" s="1089"/>
      <c r="B22" s="1086"/>
      <c r="C22" s="1092"/>
      <c r="D22" s="594"/>
      <c r="E22" s="594"/>
      <c r="F22" s="307"/>
      <c r="G22" s="307"/>
      <c r="H22" s="308">
        <f t="shared" si="6"/>
        <v>44878</v>
      </c>
      <c r="I22" s="308">
        <f t="shared" si="7"/>
        <v>0</v>
      </c>
      <c r="J22" s="309" t="str">
        <f t="shared" si="8"/>
        <v/>
      </c>
      <c r="K22" s="310" t="str">
        <f t="shared" si="9"/>
        <v/>
      </c>
      <c r="L22" s="311"/>
      <c r="M22" s="312" t="str">
        <f t="shared" si="10"/>
        <v/>
      </c>
      <c r="N22" s="199">
        <v>18</v>
      </c>
      <c r="P22" s="305"/>
      <c r="Q22" s="313"/>
      <c r="R22" s="305"/>
      <c r="S22" s="305"/>
      <c r="T22" s="313"/>
      <c r="U22" s="314"/>
      <c r="V22" s="314"/>
    </row>
    <row r="23" spans="1:22" ht="44.25" customHeight="1">
      <c r="A23" s="1089"/>
      <c r="B23" s="1086"/>
      <c r="C23" s="1092"/>
      <c r="D23" s="594"/>
      <c r="E23" s="594"/>
      <c r="F23" s="307"/>
      <c r="G23" s="307"/>
      <c r="H23" s="308">
        <f t="shared" ref="H23" si="16">IF(F23&lt;=$I$6,$I$6,F23)</f>
        <v>44878</v>
      </c>
      <c r="I23" s="308">
        <f t="shared" ref="I23" si="17">IF(G23&lt;=$I$7,G23,$I$7)</f>
        <v>0</v>
      </c>
      <c r="J23" s="309" t="str">
        <f t="shared" ref="J23" si="18">IF(F23="","",G23-F23+1)</f>
        <v/>
      </c>
      <c r="K23" s="310" t="str">
        <f t="shared" ref="K23" si="19">IF(F23="","",I23-H23+1)</f>
        <v/>
      </c>
      <c r="L23" s="311"/>
      <c r="M23" s="312" t="str">
        <f t="shared" ref="M23" si="20">IF(F23="","",L23*K23/J23)</f>
        <v/>
      </c>
      <c r="N23" s="199">
        <v>18</v>
      </c>
      <c r="P23" s="305"/>
      <c r="Q23" s="313"/>
      <c r="R23" s="305"/>
      <c r="S23" s="305"/>
      <c r="T23" s="313"/>
      <c r="U23" s="314"/>
      <c r="V23" s="314"/>
    </row>
    <row r="24" spans="1:22" ht="44.25" customHeight="1">
      <c r="A24" s="1089"/>
      <c r="B24" s="1086"/>
      <c r="C24" s="1092"/>
      <c r="D24" s="594"/>
      <c r="E24" s="594"/>
      <c r="F24" s="307"/>
      <c r="G24" s="307"/>
      <c r="H24" s="308">
        <f t="shared" si="6"/>
        <v>44878</v>
      </c>
      <c r="I24" s="308">
        <f t="shared" si="7"/>
        <v>0</v>
      </c>
      <c r="J24" s="309" t="str">
        <f t="shared" si="8"/>
        <v/>
      </c>
      <c r="K24" s="310" t="str">
        <f t="shared" si="9"/>
        <v/>
      </c>
      <c r="L24" s="311"/>
      <c r="M24" s="312" t="str">
        <f t="shared" si="10"/>
        <v/>
      </c>
      <c r="N24" s="199">
        <v>20</v>
      </c>
      <c r="P24" s="305"/>
      <c r="Q24" s="313"/>
      <c r="R24" s="305"/>
      <c r="S24" s="305"/>
      <c r="T24" s="313"/>
      <c r="U24" s="314"/>
      <c r="V24" s="314"/>
    </row>
    <row r="25" spans="1:22" ht="44.25" customHeight="1">
      <c r="A25" s="1089"/>
      <c r="B25" s="1086"/>
      <c r="C25" s="1092"/>
      <c r="D25" s="594"/>
      <c r="E25" s="594"/>
      <c r="F25" s="307"/>
      <c r="G25" s="307"/>
      <c r="H25" s="308">
        <f t="shared" si="6"/>
        <v>44878</v>
      </c>
      <c r="I25" s="308">
        <f t="shared" si="7"/>
        <v>0</v>
      </c>
      <c r="J25" s="309" t="str">
        <f t="shared" si="8"/>
        <v/>
      </c>
      <c r="K25" s="310" t="str">
        <f t="shared" si="9"/>
        <v/>
      </c>
      <c r="L25" s="311"/>
      <c r="M25" s="312" t="str">
        <f t="shared" si="10"/>
        <v/>
      </c>
      <c r="N25" s="199">
        <v>20</v>
      </c>
      <c r="P25" s="305"/>
      <c r="Q25" s="313"/>
      <c r="R25" s="305"/>
      <c r="S25" s="305"/>
      <c r="T25" s="313"/>
      <c r="U25" s="314"/>
      <c r="V25" s="314"/>
    </row>
    <row r="26" spans="1:22" ht="44.25" customHeight="1">
      <c r="A26" s="1089"/>
      <c r="B26" s="1086"/>
      <c r="C26" s="1092"/>
      <c r="D26" s="594"/>
      <c r="E26" s="594"/>
      <c r="F26" s="307"/>
      <c r="G26" s="307"/>
      <c r="H26" s="308">
        <f t="shared" si="6"/>
        <v>44878</v>
      </c>
      <c r="I26" s="308">
        <f t="shared" si="7"/>
        <v>0</v>
      </c>
      <c r="J26" s="309" t="str">
        <f t="shared" si="8"/>
        <v/>
      </c>
      <c r="K26" s="310" t="str">
        <f t="shared" si="9"/>
        <v/>
      </c>
      <c r="L26" s="311"/>
      <c r="M26" s="312" t="str">
        <f t="shared" si="10"/>
        <v/>
      </c>
      <c r="N26" s="199">
        <v>20</v>
      </c>
      <c r="P26" s="305"/>
      <c r="Q26" s="313"/>
      <c r="R26" s="305"/>
      <c r="S26" s="305"/>
      <c r="T26" s="313"/>
      <c r="U26" s="314"/>
      <c r="V26" s="314"/>
    </row>
    <row r="27" spans="1:22" ht="44.25" customHeight="1">
      <c r="A27" s="1090"/>
      <c r="B27" s="1087"/>
      <c r="C27" s="1093"/>
      <c r="D27" s="594"/>
      <c r="E27" s="594"/>
      <c r="F27" s="307"/>
      <c r="G27" s="307"/>
      <c r="H27" s="595">
        <f t="shared" ref="H27:H28" si="21">IF(F27&lt;=$I$6,$I$6,F27)</f>
        <v>44878</v>
      </c>
      <c r="I27" s="595">
        <f t="shared" ref="I27:I28" si="22">IF(G27&lt;=$I$7,G27,$I$7)</f>
        <v>0</v>
      </c>
      <c r="J27" s="309" t="str">
        <f t="shared" ref="J27:J28" si="23">IF(F27="","",G27-F27+1)</f>
        <v/>
      </c>
      <c r="K27" s="310" t="str">
        <f t="shared" ref="K27:K28" si="24">IF(F27="","",I27-H27+1)</f>
        <v/>
      </c>
      <c r="L27" s="311"/>
      <c r="M27" s="312" t="str">
        <f t="shared" ref="M27:M28" si="25">IF(F27="","",L27*K27/J27)</f>
        <v/>
      </c>
      <c r="N27" s="199">
        <v>23</v>
      </c>
      <c r="P27" s="305"/>
      <c r="Q27" s="313"/>
      <c r="R27" s="305"/>
      <c r="S27" s="305"/>
      <c r="T27" s="313"/>
      <c r="U27" s="314"/>
      <c r="V27" s="314"/>
    </row>
    <row r="28" spans="1:22" ht="44.25" customHeight="1">
      <c r="A28" s="1088" t="str">
        <f>$A$6</f>
        <v>A</v>
      </c>
      <c r="B28" s="1085" t="s">
        <v>154</v>
      </c>
      <c r="C28" s="1091" t="s">
        <v>505</v>
      </c>
      <c r="D28" s="594"/>
      <c r="E28" s="594"/>
      <c r="F28" s="307"/>
      <c r="G28" s="307"/>
      <c r="H28" s="595">
        <f t="shared" si="21"/>
        <v>44878</v>
      </c>
      <c r="I28" s="595">
        <f t="shared" si="22"/>
        <v>0</v>
      </c>
      <c r="J28" s="309" t="str">
        <f t="shared" si="23"/>
        <v/>
      </c>
      <c r="K28" s="310" t="str">
        <f t="shared" si="24"/>
        <v/>
      </c>
      <c r="L28" s="311"/>
      <c r="M28" s="312" t="str">
        <f t="shared" si="25"/>
        <v/>
      </c>
      <c r="N28" s="199">
        <v>23</v>
      </c>
      <c r="P28" s="305"/>
      <c r="Q28" s="313"/>
      <c r="R28" s="305"/>
      <c r="S28" s="305"/>
      <c r="T28" s="313"/>
      <c r="U28" s="314"/>
      <c r="V28" s="314"/>
    </row>
    <row r="29" spans="1:22" ht="44.25" customHeight="1">
      <c r="A29" s="1089"/>
      <c r="B29" s="1086"/>
      <c r="C29" s="1092"/>
      <c r="D29" s="594"/>
      <c r="E29" s="594"/>
      <c r="F29" s="307"/>
      <c r="G29" s="307"/>
      <c r="H29" s="308">
        <f t="shared" si="6"/>
        <v>44878</v>
      </c>
      <c r="I29" s="308">
        <f t="shared" si="7"/>
        <v>0</v>
      </c>
      <c r="J29" s="309" t="str">
        <f t="shared" si="8"/>
        <v/>
      </c>
      <c r="K29" s="310" t="str">
        <f t="shared" si="9"/>
        <v/>
      </c>
      <c r="L29" s="311"/>
      <c r="M29" s="312" t="str">
        <f t="shared" si="10"/>
        <v/>
      </c>
      <c r="N29" s="199">
        <v>23</v>
      </c>
      <c r="P29" s="305"/>
      <c r="Q29" s="313"/>
      <c r="R29" s="305"/>
      <c r="S29" s="305"/>
      <c r="T29" s="313"/>
      <c r="U29" s="314"/>
      <c r="V29" s="314"/>
    </row>
    <row r="30" spans="1:22" ht="44.25" customHeight="1">
      <c r="A30" s="1089"/>
      <c r="B30" s="1086"/>
      <c r="C30" s="1092"/>
      <c r="D30" s="594"/>
      <c r="E30" s="594"/>
      <c r="F30" s="307"/>
      <c r="G30" s="307"/>
      <c r="H30" s="595">
        <f t="shared" si="6"/>
        <v>44878</v>
      </c>
      <c r="I30" s="595">
        <f t="shared" si="7"/>
        <v>0</v>
      </c>
      <c r="J30" s="309" t="str">
        <f t="shared" si="8"/>
        <v/>
      </c>
      <c r="K30" s="310" t="str">
        <f t="shared" si="9"/>
        <v/>
      </c>
      <c r="L30" s="311"/>
      <c r="M30" s="312" t="str">
        <f t="shared" si="10"/>
        <v/>
      </c>
      <c r="N30" s="199">
        <v>24</v>
      </c>
      <c r="P30" s="305"/>
      <c r="Q30" s="313"/>
      <c r="R30" s="305"/>
      <c r="S30" s="305"/>
      <c r="T30" s="313"/>
      <c r="U30" s="314"/>
      <c r="V30" s="314"/>
    </row>
    <row r="31" spans="1:22" ht="44.25" customHeight="1">
      <c r="A31" s="1089"/>
      <c r="B31" s="1086"/>
      <c r="C31" s="1092"/>
      <c r="D31" s="594"/>
      <c r="E31" s="594"/>
      <c r="F31" s="307"/>
      <c r="G31" s="307"/>
      <c r="H31" s="595">
        <f t="shared" ref="H31:H32" si="26">IF(F31&lt;=$I$6,$I$6,F31)</f>
        <v>44878</v>
      </c>
      <c r="I31" s="595">
        <f t="shared" ref="I31:I32" si="27">IF(G31&lt;=$I$7,G31,$I$7)</f>
        <v>0</v>
      </c>
      <c r="J31" s="309" t="str">
        <f t="shared" ref="J31:J32" si="28">IF(F31="","",G31-F31+1)</f>
        <v/>
      </c>
      <c r="K31" s="310" t="str">
        <f t="shared" ref="K31:K32" si="29">IF(F31="","",I31-H31+1)</f>
        <v/>
      </c>
      <c r="L31" s="311"/>
      <c r="M31" s="312" t="str">
        <f t="shared" ref="M31:M32" si="30">IF(F31="","",L31*K31/J31)</f>
        <v/>
      </c>
      <c r="N31" s="199">
        <v>24</v>
      </c>
      <c r="P31" s="305"/>
      <c r="Q31" s="313"/>
      <c r="R31" s="305"/>
      <c r="S31" s="305"/>
      <c r="T31" s="313"/>
      <c r="U31" s="314"/>
      <c r="V31" s="314"/>
    </row>
    <row r="32" spans="1:22" ht="44.25" customHeight="1">
      <c r="A32" s="1089"/>
      <c r="B32" s="1086"/>
      <c r="C32" s="1092"/>
      <c r="D32" s="594"/>
      <c r="E32" s="594"/>
      <c r="F32" s="307"/>
      <c r="G32" s="307"/>
      <c r="H32" s="595">
        <f t="shared" si="26"/>
        <v>44878</v>
      </c>
      <c r="I32" s="595">
        <f t="shared" si="27"/>
        <v>0</v>
      </c>
      <c r="J32" s="309" t="str">
        <f t="shared" si="28"/>
        <v/>
      </c>
      <c r="K32" s="310" t="str">
        <f t="shared" si="29"/>
        <v/>
      </c>
      <c r="L32" s="311"/>
      <c r="M32" s="312" t="str">
        <f t="shared" si="30"/>
        <v/>
      </c>
      <c r="N32" s="199">
        <v>25</v>
      </c>
      <c r="P32" s="305"/>
      <c r="Q32" s="313"/>
      <c r="R32" s="305"/>
      <c r="S32" s="305"/>
      <c r="T32" s="313"/>
      <c r="U32" s="314"/>
      <c r="V32" s="314"/>
    </row>
    <row r="33" spans="1:23" ht="44.25" customHeight="1">
      <c r="A33" s="1089"/>
      <c r="B33" s="1086"/>
      <c r="C33" s="1093"/>
      <c r="D33" s="594"/>
      <c r="E33" s="594"/>
      <c r="F33" s="307"/>
      <c r="G33" s="307"/>
      <c r="H33" s="595">
        <f t="shared" ref="H33" si="31">IF(F33&lt;=$I$6,$I$6,F33)</f>
        <v>44878</v>
      </c>
      <c r="I33" s="595">
        <f t="shared" ref="I33" si="32">IF(G33&lt;=$I$7,G33,$I$7)</f>
        <v>0</v>
      </c>
      <c r="J33" s="309" t="str">
        <f t="shared" ref="J33" si="33">IF(F33="","",G33-F33+1)</f>
        <v/>
      </c>
      <c r="K33" s="310" t="str">
        <f t="shared" ref="K33" si="34">IF(F33="","",I33-H33+1)</f>
        <v/>
      </c>
      <c r="L33" s="311"/>
      <c r="M33" s="312" t="str">
        <f t="shared" ref="M33" si="35">IF(F33="","",L33*K33/J33)</f>
        <v/>
      </c>
      <c r="N33" s="199">
        <v>25</v>
      </c>
      <c r="P33" s="305"/>
      <c r="Q33" s="313"/>
      <c r="R33" s="305"/>
      <c r="S33" s="305"/>
      <c r="T33" s="313"/>
      <c r="U33" s="314"/>
      <c r="V33" s="314"/>
    </row>
    <row r="34" spans="1:23" ht="18" customHeight="1">
      <c r="A34" s="1090"/>
      <c r="B34" s="1087"/>
      <c r="C34" s="1104" t="s">
        <v>102</v>
      </c>
      <c r="D34" s="1104"/>
      <c r="E34" s="1104"/>
      <c r="F34" s="1104"/>
      <c r="G34" s="1104"/>
      <c r="H34" s="1104"/>
      <c r="I34" s="1104"/>
      <c r="J34" s="1104"/>
      <c r="K34" s="1104"/>
      <c r="L34" s="1104"/>
      <c r="M34" s="317">
        <f>SUM(M18:M33)*0.5</f>
        <v>0</v>
      </c>
      <c r="N34" s="316"/>
      <c r="P34" s="305"/>
      <c r="Q34" s="313"/>
      <c r="R34" s="305"/>
      <c r="S34" s="305"/>
      <c r="T34" s="313"/>
      <c r="U34" s="314"/>
      <c r="V34" s="314"/>
    </row>
    <row r="35" spans="1:23" ht="18" customHeight="1">
      <c r="A35" s="159"/>
    </row>
    <row r="36" spans="1:23" ht="18" customHeight="1">
      <c r="A36" s="158"/>
      <c r="B36" s="158"/>
      <c r="C36" s="158"/>
      <c r="D36" s="158"/>
      <c r="E36" s="158"/>
      <c r="F36" s="158"/>
      <c r="G36" s="158"/>
      <c r="H36" s="158"/>
      <c r="I36" s="158"/>
      <c r="J36" s="158"/>
      <c r="K36" s="282"/>
      <c r="L36" s="286"/>
      <c r="M36" s="318" t="s">
        <v>140</v>
      </c>
      <c r="O36" s="319"/>
      <c r="P36" s="319"/>
      <c r="Q36" s="319"/>
      <c r="R36" s="319"/>
      <c r="S36" s="319"/>
      <c r="T36" s="319"/>
      <c r="U36" s="319"/>
      <c r="V36" s="319"/>
      <c r="W36" s="319"/>
    </row>
    <row r="37" spans="1:23" ht="18" customHeight="1">
      <c r="A37" s="1091" t="str">
        <f>A14</f>
        <v>건설사업관리
용역업자회사명</v>
      </c>
      <c r="B37" s="1095" t="s">
        <v>141</v>
      </c>
      <c r="C37" s="1095"/>
      <c r="D37" s="1095" t="s">
        <v>142</v>
      </c>
      <c r="E37" s="1095" t="s">
        <v>143</v>
      </c>
      <c r="F37" s="1113" t="s">
        <v>155</v>
      </c>
      <c r="G37" s="1113"/>
      <c r="H37" s="1113" t="s">
        <v>145</v>
      </c>
      <c r="I37" s="1113"/>
      <c r="J37" s="1114" t="s">
        <v>146</v>
      </c>
      <c r="K37" s="1116" t="s">
        <v>147</v>
      </c>
      <c r="L37" s="1118" t="s">
        <v>148</v>
      </c>
      <c r="M37" s="1106" t="s">
        <v>149</v>
      </c>
      <c r="N37" s="1108" t="s">
        <v>156</v>
      </c>
      <c r="O37" s="319"/>
      <c r="P37" s="319"/>
      <c r="Q37" s="319"/>
      <c r="R37" s="319"/>
      <c r="S37" s="319"/>
      <c r="T37" s="319"/>
      <c r="U37" s="319"/>
      <c r="V37" s="319"/>
      <c r="W37" s="319"/>
    </row>
    <row r="38" spans="1:23" ht="18" customHeight="1" thickBot="1">
      <c r="A38" s="1094"/>
      <c r="B38" s="1095"/>
      <c r="C38" s="1095"/>
      <c r="D38" s="1095"/>
      <c r="E38" s="1095"/>
      <c r="F38" s="304" t="s">
        <v>152</v>
      </c>
      <c r="G38" s="304" t="s">
        <v>153</v>
      </c>
      <c r="H38" s="304" t="s">
        <v>152</v>
      </c>
      <c r="I38" s="304" t="s">
        <v>153</v>
      </c>
      <c r="J38" s="1115"/>
      <c r="K38" s="1117"/>
      <c r="L38" s="1119"/>
      <c r="M38" s="1107"/>
      <c r="N38" s="1109"/>
    </row>
    <row r="39" spans="1:23" ht="18" customHeight="1">
      <c r="A39" s="1088" t="str">
        <f>$A$6</f>
        <v>A</v>
      </c>
      <c r="B39" s="1085" t="s">
        <v>157</v>
      </c>
      <c r="C39" s="1091" t="s">
        <v>504</v>
      </c>
      <c r="D39" s="1124"/>
      <c r="E39" s="1124"/>
      <c r="F39" s="307"/>
      <c r="G39" s="307"/>
      <c r="H39" s="308">
        <f>IF(F39&lt;=$I$6,$I$6,F39)</f>
        <v>44878</v>
      </c>
      <c r="I39" s="308">
        <f>IF(G39&lt;=$I$7,G39,$I$7)</f>
        <v>0</v>
      </c>
      <c r="J39" s="320" t="str">
        <f t="shared" ref="J39:J60" si="36">IF(F39="","",G39-F39+1)</f>
        <v/>
      </c>
      <c r="K39" s="321" t="str">
        <f t="shared" ref="K39:K60" si="37">IF(F39="","",I39-H39+1)</f>
        <v/>
      </c>
      <c r="L39" s="311">
        <v>135000</v>
      </c>
      <c r="M39" s="216" t="str">
        <f>IF(F39="","",L39*K39/J39)</f>
        <v/>
      </c>
      <c r="N39" s="611">
        <v>63</v>
      </c>
      <c r="O39" s="1131"/>
      <c r="P39" s="1132"/>
      <c r="Q39" s="1132"/>
      <c r="R39" s="1132"/>
      <c r="S39" s="1132"/>
      <c r="T39" s="1132"/>
      <c r="U39" s="1132"/>
      <c r="V39" s="1132"/>
      <c r="W39" s="1133"/>
    </row>
    <row r="40" spans="1:23" ht="18" customHeight="1">
      <c r="A40" s="1089"/>
      <c r="B40" s="1086"/>
      <c r="C40" s="1092"/>
      <c r="D40" s="1126"/>
      <c r="E40" s="1126"/>
      <c r="F40" s="307"/>
      <c r="G40" s="307"/>
      <c r="H40" s="595">
        <f>IF(F40&lt;=$I$6,$I$6,F40)</f>
        <v>44878</v>
      </c>
      <c r="I40" s="595">
        <f>IF(G40&lt;=$I$7,G40,$I$7)</f>
        <v>0</v>
      </c>
      <c r="J40" s="320" t="str">
        <f t="shared" ref="J40" si="38">IF(F40="","",G40-F40+1)</f>
        <v/>
      </c>
      <c r="K40" s="321" t="str">
        <f t="shared" ref="K40" si="39">IF(F40="","",I40-H40+1)</f>
        <v/>
      </c>
      <c r="L40" s="311">
        <v>166000</v>
      </c>
      <c r="M40" s="216" t="str">
        <f>IF(F40="","",L40*K40/J40)</f>
        <v/>
      </c>
      <c r="N40" s="612"/>
      <c r="O40" s="608"/>
      <c r="P40" s="609"/>
      <c r="Q40" s="609"/>
      <c r="R40" s="609"/>
      <c r="S40" s="609"/>
      <c r="T40" s="322"/>
      <c r="U40" s="175"/>
      <c r="V40" s="175"/>
      <c r="W40" s="175"/>
    </row>
    <row r="41" spans="1:23" ht="18" customHeight="1">
      <c r="A41" s="1089"/>
      <c r="B41" s="1086"/>
      <c r="C41" s="1092"/>
      <c r="D41" s="1126"/>
      <c r="E41" s="1126"/>
      <c r="F41" s="307"/>
      <c r="G41" s="307"/>
      <c r="H41" s="595">
        <f>IF(F41&lt;=$I$6,$I$6,F41)</f>
        <v>44878</v>
      </c>
      <c r="I41" s="595">
        <f>IF(G41&lt;=$I$7,G41,$I$7)</f>
        <v>0</v>
      </c>
      <c r="J41" s="320" t="str">
        <f t="shared" si="36"/>
        <v/>
      </c>
      <c r="K41" s="321" t="str">
        <f t="shared" si="37"/>
        <v/>
      </c>
      <c r="L41" s="311">
        <v>94000</v>
      </c>
      <c r="M41" s="216" t="str">
        <f>IF(F41="","",L41*K41/J41)</f>
        <v/>
      </c>
      <c r="N41" s="612"/>
      <c r="O41" s="608"/>
      <c r="P41" s="609"/>
      <c r="Q41" s="609"/>
      <c r="R41" s="609"/>
      <c r="S41" s="609"/>
      <c r="T41" s="322"/>
      <c r="U41" s="175"/>
      <c r="V41" s="175"/>
      <c r="W41" s="175"/>
    </row>
    <row r="42" spans="1:23" ht="18" customHeight="1" thickBot="1">
      <c r="A42" s="1089"/>
      <c r="B42" s="1086"/>
      <c r="C42" s="1092"/>
      <c r="D42" s="1125"/>
      <c r="E42" s="1125"/>
      <c r="F42" s="1099"/>
      <c r="G42" s="1100"/>
      <c r="H42" s="1100"/>
      <c r="I42" s="1100"/>
      <c r="J42" s="1100"/>
      <c r="K42" s="1101"/>
      <c r="L42" s="311"/>
      <c r="M42" s="216"/>
      <c r="N42" s="613"/>
      <c r="O42" s="1134"/>
      <c r="P42" s="1135"/>
      <c r="Q42" s="1135"/>
      <c r="R42" s="1135"/>
      <c r="S42" s="1135"/>
      <c r="T42" s="1135"/>
      <c r="U42" s="1135"/>
      <c r="V42" s="1135"/>
      <c r="W42" s="1136"/>
    </row>
    <row r="43" spans="1:23" ht="18" customHeight="1">
      <c r="A43" s="1089"/>
      <c r="B43" s="1086"/>
      <c r="C43" s="1092"/>
      <c r="D43" s="1124"/>
      <c r="E43" s="1124"/>
      <c r="F43" s="307"/>
      <c r="G43" s="307"/>
      <c r="H43" s="308">
        <f>IF(F43&lt;=$I$6,$I$6,F43)</f>
        <v>44878</v>
      </c>
      <c r="I43" s="308">
        <f>IF(G43&lt;=$I$7,G43,$I$7)</f>
        <v>0</v>
      </c>
      <c r="J43" s="320" t="str">
        <f t="shared" si="36"/>
        <v/>
      </c>
      <c r="K43" s="321" t="str">
        <f t="shared" si="37"/>
        <v/>
      </c>
      <c r="L43" s="311">
        <v>113000</v>
      </c>
      <c r="M43" s="216" t="str">
        <f>IF(F43="","",L43*K43/J43)</f>
        <v/>
      </c>
      <c r="N43" s="611">
        <v>65</v>
      </c>
      <c r="O43" s="1137"/>
      <c r="P43" s="1138"/>
      <c r="Q43" s="1138"/>
      <c r="R43" s="1138"/>
      <c r="S43" s="1139"/>
      <c r="T43" s="322"/>
      <c r="U43" s="175"/>
      <c r="V43" s="175"/>
      <c r="W43" s="175"/>
    </row>
    <row r="44" spans="1:23" ht="18" customHeight="1">
      <c r="A44" s="1089"/>
      <c r="B44" s="1086"/>
      <c r="C44" s="1092"/>
      <c r="D44" s="1126"/>
      <c r="E44" s="1126"/>
      <c r="F44" s="307"/>
      <c r="G44" s="307"/>
      <c r="H44" s="595">
        <f>IF(F44&lt;=$I$6,$I$6,F44)</f>
        <v>44878</v>
      </c>
      <c r="I44" s="595">
        <f>IF(G44&lt;=$I$7,G44,$I$7)</f>
        <v>0</v>
      </c>
      <c r="J44" s="320" t="str">
        <f t="shared" ref="J44" si="40">IF(F44="","",G44-F44+1)</f>
        <v/>
      </c>
      <c r="K44" s="321" t="str">
        <f t="shared" ref="K44" si="41">IF(F44="","",I44-H44+1)</f>
        <v/>
      </c>
      <c r="L44" s="311">
        <v>137000</v>
      </c>
      <c r="M44" s="216" t="str">
        <f>IF(F44="","",L44*K44/J44)</f>
        <v/>
      </c>
      <c r="N44" s="612"/>
      <c r="O44" s="1140"/>
      <c r="P44" s="1141"/>
      <c r="Q44" s="1141"/>
      <c r="R44" s="1141"/>
      <c r="S44" s="1142"/>
      <c r="T44" s="322"/>
      <c r="U44" s="175"/>
      <c r="V44" s="175"/>
      <c r="W44" s="175"/>
    </row>
    <row r="45" spans="1:23" ht="18" customHeight="1">
      <c r="A45" s="1089"/>
      <c r="B45" s="1086"/>
      <c r="C45" s="1092"/>
      <c r="D45" s="1126"/>
      <c r="E45" s="1126"/>
      <c r="F45" s="307"/>
      <c r="G45" s="307"/>
      <c r="H45" s="595">
        <f>IF(F45&lt;=$I$6,$I$6,F45)</f>
        <v>44878</v>
      </c>
      <c r="I45" s="595">
        <f>IF(G45&lt;=$I$7,G45,$I$7)</f>
        <v>0</v>
      </c>
      <c r="J45" s="320" t="str">
        <f t="shared" si="36"/>
        <v/>
      </c>
      <c r="K45" s="321" t="str">
        <f t="shared" si="37"/>
        <v/>
      </c>
      <c r="L45" s="311">
        <v>97000</v>
      </c>
      <c r="M45" s="216" t="str">
        <f>IF(F45="","",L45*K45/J45)</f>
        <v/>
      </c>
      <c r="N45" s="612"/>
      <c r="O45" s="1140"/>
      <c r="P45" s="1141"/>
      <c r="Q45" s="1141"/>
      <c r="R45" s="1141"/>
      <c r="S45" s="1142"/>
      <c r="T45" s="322"/>
      <c r="U45" s="175"/>
      <c r="V45" s="175"/>
      <c r="W45" s="175"/>
    </row>
    <row r="46" spans="1:23" ht="18" customHeight="1">
      <c r="A46" s="1089"/>
      <c r="B46" s="1086"/>
      <c r="C46" s="1092"/>
      <c r="D46" s="1126"/>
      <c r="E46" s="1126"/>
      <c r="F46" s="307"/>
      <c r="G46" s="307"/>
      <c r="H46" s="623">
        <f>IF(F46&lt;=$I$6,$I$6,F46)</f>
        <v>44878</v>
      </c>
      <c r="I46" s="623">
        <f>IF(G46&lt;=$I$7,G46,$I$7)</f>
        <v>0</v>
      </c>
      <c r="J46" s="320" t="str">
        <f t="shared" ref="J46" si="42">IF(F46="","",G46-F46+1)</f>
        <v/>
      </c>
      <c r="K46" s="321" t="str">
        <f t="shared" ref="K46" si="43">IF(F46="","",I46-H46+1)</f>
        <v/>
      </c>
      <c r="L46" s="311">
        <v>129000</v>
      </c>
      <c r="M46" s="216" t="str">
        <f>IF(F46="","",L46*K46/J46)</f>
        <v/>
      </c>
      <c r="N46" s="612"/>
      <c r="O46" s="1140"/>
      <c r="P46" s="1141"/>
      <c r="Q46" s="1141"/>
      <c r="R46" s="1141"/>
      <c r="S46" s="1142"/>
      <c r="T46" s="322"/>
      <c r="U46" s="175"/>
      <c r="V46" s="175"/>
      <c r="W46" s="175"/>
    </row>
    <row r="47" spans="1:23" ht="18" customHeight="1">
      <c r="A47" s="1089"/>
      <c r="B47" s="1086"/>
      <c r="C47" s="1092"/>
      <c r="D47" s="1126"/>
      <c r="E47" s="1126"/>
      <c r="F47" s="307"/>
      <c r="G47" s="307"/>
      <c r="H47" s="595">
        <f>IF(F47&lt;=$I$6,$I$6,F47)</f>
        <v>44878</v>
      </c>
      <c r="I47" s="595">
        <f>IF(G47&lt;=$I$7,G47,$I$7)</f>
        <v>0</v>
      </c>
      <c r="J47" s="320" t="str">
        <f t="shared" ref="J47" si="44">IF(F47="","",G47-F47+1)</f>
        <v/>
      </c>
      <c r="K47" s="321" t="str">
        <f t="shared" ref="K47" si="45">IF(F47="","",I47-H47+1)</f>
        <v/>
      </c>
      <c r="L47" s="311">
        <v>126000</v>
      </c>
      <c r="M47" s="216" t="str">
        <f>IF(F47="","",L47*K47/J47)</f>
        <v/>
      </c>
      <c r="N47" s="612"/>
      <c r="O47" s="1140"/>
      <c r="P47" s="1141"/>
      <c r="Q47" s="1141"/>
      <c r="R47" s="1141"/>
      <c r="S47" s="1142"/>
      <c r="T47" s="322"/>
      <c r="U47" s="175"/>
      <c r="V47" s="175"/>
      <c r="W47" s="175"/>
    </row>
    <row r="48" spans="1:23" ht="18" customHeight="1">
      <c r="A48" s="1089"/>
      <c r="B48" s="1086"/>
      <c r="C48" s="1092"/>
      <c r="D48" s="1125"/>
      <c r="E48" s="1125"/>
      <c r="F48" s="1099"/>
      <c r="G48" s="1100"/>
      <c r="H48" s="1100"/>
      <c r="I48" s="1100"/>
      <c r="J48" s="1100"/>
      <c r="K48" s="1101"/>
      <c r="L48" s="311"/>
      <c r="M48" s="216"/>
      <c r="N48" s="613"/>
      <c r="O48" s="1143"/>
      <c r="P48" s="1144"/>
      <c r="Q48" s="1144"/>
      <c r="R48" s="1144"/>
      <c r="S48" s="1142"/>
      <c r="T48" s="322"/>
      <c r="U48" s="175"/>
      <c r="V48" s="175"/>
      <c r="W48" s="175"/>
    </row>
    <row r="49" spans="1:23" ht="18" customHeight="1">
      <c r="A49" s="1089"/>
      <c r="B49" s="1086"/>
      <c r="C49" s="1092"/>
      <c r="D49" s="1124"/>
      <c r="E49" s="1124"/>
      <c r="F49" s="307"/>
      <c r="G49" s="307"/>
      <c r="H49" s="308">
        <f>IF(F49&lt;=$I$6,$I$6,F49)</f>
        <v>44878</v>
      </c>
      <c r="I49" s="308">
        <f>IF(G49&lt;=$I$7,G49,$I$7)</f>
        <v>0</v>
      </c>
      <c r="J49" s="320" t="str">
        <f t="shared" si="36"/>
        <v/>
      </c>
      <c r="K49" s="321" t="str">
        <f t="shared" si="37"/>
        <v/>
      </c>
      <c r="L49" s="311">
        <v>141000</v>
      </c>
      <c r="M49" s="216" t="str">
        <f>IF(F49="","",L49*K49/J49)</f>
        <v/>
      </c>
      <c r="N49" s="611">
        <v>89</v>
      </c>
      <c r="O49" s="1143"/>
      <c r="P49" s="1144"/>
      <c r="Q49" s="1144"/>
      <c r="R49" s="1144"/>
      <c r="S49" s="1142"/>
      <c r="T49" s="322"/>
      <c r="U49" s="175"/>
      <c r="V49" s="175"/>
      <c r="W49" s="175"/>
    </row>
    <row r="50" spans="1:23" ht="18" customHeight="1">
      <c r="A50" s="1089"/>
      <c r="B50" s="1086"/>
      <c r="C50" s="1092"/>
      <c r="D50" s="1126"/>
      <c r="E50" s="1126"/>
      <c r="F50" s="307"/>
      <c r="G50" s="307"/>
      <c r="H50" s="595">
        <f>IF(F50&lt;=$I$6,$I$6,F50)</f>
        <v>44878</v>
      </c>
      <c r="I50" s="595">
        <f>IF(G50&lt;=$I$7,G50,$I$7)</f>
        <v>0</v>
      </c>
      <c r="J50" s="320" t="str">
        <f t="shared" ref="J50" si="46">IF(F50="","",G50-F50+1)</f>
        <v/>
      </c>
      <c r="K50" s="321" t="str">
        <f t="shared" ref="K50" si="47">IF(F50="","",I50-H50+1)</f>
        <v/>
      </c>
      <c r="L50" s="311">
        <v>266000</v>
      </c>
      <c r="M50" s="216" t="str">
        <f>IF(F50="","",L50*K50/J50)</f>
        <v/>
      </c>
      <c r="N50" s="612"/>
      <c r="O50" s="1143"/>
      <c r="P50" s="1144"/>
      <c r="Q50" s="1144"/>
      <c r="R50" s="1144"/>
      <c r="S50" s="1142"/>
      <c r="T50" s="322"/>
      <c r="U50" s="175"/>
      <c r="V50" s="175"/>
      <c r="W50" s="175"/>
    </row>
    <row r="51" spans="1:23" ht="18" customHeight="1">
      <c r="A51" s="1089"/>
      <c r="B51" s="1086"/>
      <c r="C51" s="1092"/>
      <c r="D51" s="1126"/>
      <c r="E51" s="1126"/>
      <c r="F51" s="307"/>
      <c r="G51" s="307"/>
      <c r="H51" s="595">
        <f>IF(F51&lt;=$I$6,$I$6,F51)</f>
        <v>44878</v>
      </c>
      <c r="I51" s="595">
        <f>IF(G51&lt;=$I$7,G51,$I$7)</f>
        <v>0</v>
      </c>
      <c r="J51" s="320" t="str">
        <f t="shared" ref="J51" si="48">IF(F51="","",G51-F51+1)</f>
        <v/>
      </c>
      <c r="K51" s="321" t="str">
        <f t="shared" ref="K51" si="49">IF(F51="","",I51-H51+1)</f>
        <v/>
      </c>
      <c r="L51" s="311">
        <v>277000</v>
      </c>
      <c r="M51" s="216" t="str">
        <f>IF(F51="","",L51*K51/J51)</f>
        <v/>
      </c>
      <c r="N51" s="612"/>
      <c r="O51" s="1143"/>
      <c r="P51" s="1144"/>
      <c r="Q51" s="1144"/>
      <c r="R51" s="1144"/>
      <c r="S51" s="1142"/>
      <c r="T51" s="322"/>
      <c r="U51" s="175"/>
      <c r="V51" s="175"/>
      <c r="W51" s="175"/>
    </row>
    <row r="52" spans="1:23" ht="18" customHeight="1">
      <c r="A52" s="1089"/>
      <c r="B52" s="1086"/>
      <c r="C52" s="1092"/>
      <c r="D52" s="1125"/>
      <c r="E52" s="1125"/>
      <c r="F52" s="1099"/>
      <c r="G52" s="1100"/>
      <c r="H52" s="1100"/>
      <c r="I52" s="1100"/>
      <c r="J52" s="1100"/>
      <c r="K52" s="1101"/>
      <c r="L52" s="311"/>
      <c r="M52" s="216"/>
      <c r="N52" s="613"/>
      <c r="O52" s="1143"/>
      <c r="P52" s="1144"/>
      <c r="Q52" s="1144"/>
      <c r="R52" s="1144"/>
      <c r="S52" s="1142"/>
      <c r="T52" s="322"/>
      <c r="U52" s="175"/>
      <c r="V52" s="175"/>
      <c r="W52" s="175"/>
    </row>
    <row r="53" spans="1:23" ht="18" customHeight="1">
      <c r="A53" s="1089"/>
      <c r="B53" s="1086"/>
      <c r="C53" s="1092"/>
      <c r="D53" s="1124"/>
      <c r="E53" s="1124"/>
      <c r="F53" s="307"/>
      <c r="G53" s="307"/>
      <c r="H53" s="308">
        <f t="shared" ref="H53:H58" si="50">IF(F53&lt;=$I$6,$I$6,F53)</f>
        <v>44878</v>
      </c>
      <c r="I53" s="308">
        <f t="shared" ref="I53:I58" si="51">IF(G53&lt;=$I$7,G53,$I$7)</f>
        <v>0</v>
      </c>
      <c r="J53" s="320" t="str">
        <f t="shared" si="36"/>
        <v/>
      </c>
      <c r="K53" s="321" t="str">
        <f t="shared" si="37"/>
        <v/>
      </c>
      <c r="L53" s="311">
        <v>48000</v>
      </c>
      <c r="M53" s="216" t="str">
        <f t="shared" ref="M53:M58" si="52">IF(F53="","",L53*K53/J53)</f>
        <v/>
      </c>
      <c r="N53" s="611">
        <v>112</v>
      </c>
      <c r="O53" s="1143"/>
      <c r="P53" s="1144"/>
      <c r="Q53" s="1144"/>
      <c r="R53" s="1144"/>
      <c r="S53" s="1142"/>
      <c r="T53" s="322"/>
      <c r="U53" s="175"/>
      <c r="V53" s="175"/>
      <c r="W53" s="175"/>
    </row>
    <row r="54" spans="1:23" ht="18" customHeight="1">
      <c r="A54" s="1089"/>
      <c r="B54" s="1086"/>
      <c r="C54" s="1092"/>
      <c r="D54" s="1126"/>
      <c r="E54" s="1126"/>
      <c r="F54" s="307"/>
      <c r="G54" s="307"/>
      <c r="H54" s="595">
        <f t="shared" si="50"/>
        <v>44878</v>
      </c>
      <c r="I54" s="595">
        <f t="shared" si="51"/>
        <v>0</v>
      </c>
      <c r="J54" s="320" t="str">
        <f t="shared" ref="J54" si="53">IF(F54="","",G54-F54+1)</f>
        <v/>
      </c>
      <c r="K54" s="321" t="str">
        <f t="shared" ref="K54" si="54">IF(F54="","",I54-H54+1)</f>
        <v/>
      </c>
      <c r="L54" s="311">
        <v>45000</v>
      </c>
      <c r="M54" s="216" t="str">
        <f t="shared" si="52"/>
        <v/>
      </c>
      <c r="N54" s="612"/>
      <c r="O54" s="1143"/>
      <c r="P54" s="1144"/>
      <c r="Q54" s="1144"/>
      <c r="R54" s="1144"/>
      <c r="S54" s="1142"/>
      <c r="T54" s="322"/>
      <c r="U54" s="175"/>
      <c r="V54" s="175"/>
      <c r="W54" s="175"/>
    </row>
    <row r="55" spans="1:23" ht="18" customHeight="1">
      <c r="A55" s="1089"/>
      <c r="B55" s="1086"/>
      <c r="C55" s="1092"/>
      <c r="D55" s="1126"/>
      <c r="E55" s="1126"/>
      <c r="F55" s="307"/>
      <c r="G55" s="307"/>
      <c r="H55" s="595">
        <f t="shared" si="50"/>
        <v>44878</v>
      </c>
      <c r="I55" s="595">
        <f t="shared" si="51"/>
        <v>0</v>
      </c>
      <c r="J55" s="320" t="str">
        <f t="shared" si="36"/>
        <v/>
      </c>
      <c r="K55" s="321" t="str">
        <f t="shared" si="37"/>
        <v/>
      </c>
      <c r="L55" s="311">
        <v>42000</v>
      </c>
      <c r="M55" s="216" t="str">
        <f t="shared" si="52"/>
        <v/>
      </c>
      <c r="N55" s="612"/>
      <c r="O55" s="1143"/>
      <c r="P55" s="1144"/>
      <c r="Q55" s="1144"/>
      <c r="R55" s="1144"/>
      <c r="S55" s="1142"/>
      <c r="T55" s="322"/>
      <c r="U55" s="175"/>
      <c r="V55" s="175"/>
      <c r="W55" s="175"/>
    </row>
    <row r="56" spans="1:23" ht="18" customHeight="1">
      <c r="A56" s="1089"/>
      <c r="B56" s="1086"/>
      <c r="C56" s="1092"/>
      <c r="D56" s="1126"/>
      <c r="E56" s="1126"/>
      <c r="F56" s="307"/>
      <c r="G56" s="307"/>
      <c r="H56" s="595">
        <f t="shared" si="50"/>
        <v>44878</v>
      </c>
      <c r="I56" s="595">
        <f t="shared" si="51"/>
        <v>0</v>
      </c>
      <c r="J56" s="320" t="str">
        <f t="shared" ref="J56" si="55">IF(F56="","",G56-F56+1)</f>
        <v/>
      </c>
      <c r="K56" s="321" t="str">
        <f t="shared" ref="K56" si="56">IF(F56="","",I56-H56+1)</f>
        <v/>
      </c>
      <c r="L56" s="311">
        <v>97000</v>
      </c>
      <c r="M56" s="216" t="str">
        <f t="shared" si="52"/>
        <v/>
      </c>
      <c r="N56" s="612"/>
      <c r="O56" s="1143"/>
      <c r="P56" s="1144"/>
      <c r="Q56" s="1144"/>
      <c r="R56" s="1144"/>
      <c r="S56" s="1142"/>
      <c r="T56" s="322"/>
      <c r="U56" s="175"/>
      <c r="V56" s="175"/>
      <c r="W56" s="175"/>
    </row>
    <row r="57" spans="1:23" ht="18" customHeight="1">
      <c r="A57" s="1089"/>
      <c r="B57" s="1086"/>
      <c r="C57" s="1092"/>
      <c r="D57" s="1126"/>
      <c r="E57" s="1126"/>
      <c r="F57" s="307"/>
      <c r="G57" s="307"/>
      <c r="H57" s="595">
        <f t="shared" si="50"/>
        <v>44878</v>
      </c>
      <c r="I57" s="595">
        <f t="shared" si="51"/>
        <v>0</v>
      </c>
      <c r="J57" s="320" t="str">
        <f t="shared" si="36"/>
        <v/>
      </c>
      <c r="K57" s="321" t="str">
        <f t="shared" si="37"/>
        <v/>
      </c>
      <c r="L57" s="311">
        <v>68000</v>
      </c>
      <c r="M57" s="216" t="str">
        <f t="shared" si="52"/>
        <v/>
      </c>
      <c r="N57" s="612"/>
      <c r="O57" s="1143"/>
      <c r="P57" s="1144"/>
      <c r="Q57" s="1144"/>
      <c r="R57" s="1144"/>
      <c r="S57" s="1142"/>
      <c r="T57" s="322"/>
      <c r="U57" s="175"/>
      <c r="V57" s="175"/>
      <c r="W57" s="175"/>
    </row>
    <row r="58" spans="1:23" ht="18" customHeight="1">
      <c r="A58" s="1089"/>
      <c r="B58" s="1086"/>
      <c r="C58" s="1092"/>
      <c r="D58" s="1126"/>
      <c r="E58" s="1126"/>
      <c r="F58" s="307"/>
      <c r="G58" s="307"/>
      <c r="H58" s="595">
        <f t="shared" si="50"/>
        <v>44878</v>
      </c>
      <c r="I58" s="595">
        <f t="shared" si="51"/>
        <v>0</v>
      </c>
      <c r="J58" s="320" t="str">
        <f t="shared" ref="J58" si="57">IF(F58="","",G58-F58+1)</f>
        <v/>
      </c>
      <c r="K58" s="321" t="str">
        <f t="shared" ref="K58" si="58">IF(F58="","",I58-H58+1)</f>
        <v/>
      </c>
      <c r="L58" s="311">
        <v>63000</v>
      </c>
      <c r="M58" s="216" t="str">
        <f t="shared" si="52"/>
        <v/>
      </c>
      <c r="N58" s="612"/>
      <c r="O58" s="1143"/>
      <c r="P58" s="1144"/>
      <c r="Q58" s="1144"/>
      <c r="R58" s="1144"/>
      <c r="S58" s="1142"/>
      <c r="T58" s="322"/>
      <c r="U58" s="175"/>
      <c r="V58" s="175"/>
      <c r="W58" s="175"/>
    </row>
    <row r="59" spans="1:23" ht="18" customHeight="1">
      <c r="A59" s="1090"/>
      <c r="B59" s="1087"/>
      <c r="C59" s="1093"/>
      <c r="D59" s="1125"/>
      <c r="E59" s="1125"/>
      <c r="F59" s="1099"/>
      <c r="G59" s="1100"/>
      <c r="H59" s="1100"/>
      <c r="I59" s="1100"/>
      <c r="J59" s="1100"/>
      <c r="K59" s="1101"/>
      <c r="L59" s="311"/>
      <c r="M59" s="216"/>
      <c r="N59" s="613"/>
      <c r="O59" s="1143"/>
      <c r="P59" s="1144"/>
      <c r="Q59" s="1144"/>
      <c r="R59" s="1144"/>
      <c r="S59" s="1142"/>
      <c r="T59" s="322"/>
      <c r="U59" s="175"/>
      <c r="V59" s="175"/>
      <c r="W59" s="175"/>
    </row>
    <row r="60" spans="1:23" ht="18" customHeight="1">
      <c r="A60" s="1088" t="str">
        <f>$A$6</f>
        <v>A</v>
      </c>
      <c r="B60" s="1085" t="s">
        <v>157</v>
      </c>
      <c r="C60" s="1091" t="s">
        <v>504</v>
      </c>
      <c r="D60" s="1124"/>
      <c r="E60" s="1124"/>
      <c r="F60" s="307"/>
      <c r="G60" s="307"/>
      <c r="H60" s="308">
        <f t="shared" ref="H60:H66" si="59">IF(F60&lt;=$I$6,$I$6,F60)</f>
        <v>44878</v>
      </c>
      <c r="I60" s="308">
        <f t="shared" ref="I60:I66" si="60">IF(G60&lt;=$I$7,G60,$I$7)</f>
        <v>0</v>
      </c>
      <c r="J60" s="320" t="str">
        <f t="shared" si="36"/>
        <v/>
      </c>
      <c r="K60" s="321" t="str">
        <f t="shared" si="37"/>
        <v/>
      </c>
      <c r="L60" s="311">
        <v>29000</v>
      </c>
      <c r="M60" s="216" t="str">
        <f t="shared" ref="M60:M66" si="61">IF(F60="","",L60*K60/J60)</f>
        <v/>
      </c>
      <c r="N60" s="611">
        <v>115</v>
      </c>
      <c r="O60" s="1143"/>
      <c r="P60" s="1144"/>
      <c r="Q60" s="1144"/>
      <c r="R60" s="1144"/>
      <c r="S60" s="1142"/>
      <c r="T60" s="322"/>
      <c r="U60" s="175"/>
      <c r="V60" s="175"/>
      <c r="W60" s="175"/>
    </row>
    <row r="61" spans="1:23" ht="18" customHeight="1">
      <c r="A61" s="1089"/>
      <c r="B61" s="1086"/>
      <c r="C61" s="1092"/>
      <c r="D61" s="1126"/>
      <c r="E61" s="1126"/>
      <c r="F61" s="307"/>
      <c r="G61" s="307"/>
      <c r="H61" s="595">
        <f t="shared" si="59"/>
        <v>44878</v>
      </c>
      <c r="I61" s="595">
        <f t="shared" si="60"/>
        <v>0</v>
      </c>
      <c r="J61" s="320" t="str">
        <f t="shared" ref="J61:J65" si="62">IF(F61="","",G61-F61+1)</f>
        <v/>
      </c>
      <c r="K61" s="321" t="str">
        <f t="shared" ref="K61:K65" si="63">IF(F61="","",I61-H61+1)</f>
        <v/>
      </c>
      <c r="L61" s="311">
        <v>122000</v>
      </c>
      <c r="M61" s="216" t="str">
        <f t="shared" si="61"/>
        <v/>
      </c>
      <c r="N61" s="612"/>
      <c r="O61" s="1143"/>
      <c r="P61" s="1144"/>
      <c r="Q61" s="1144"/>
      <c r="R61" s="1144"/>
      <c r="S61" s="1142"/>
      <c r="T61" s="322"/>
      <c r="U61" s="175"/>
      <c r="V61" s="175"/>
      <c r="W61" s="175"/>
    </row>
    <row r="62" spans="1:23" ht="18" customHeight="1">
      <c r="A62" s="1089"/>
      <c r="B62" s="1086"/>
      <c r="C62" s="1092"/>
      <c r="D62" s="1126"/>
      <c r="E62" s="1126"/>
      <c r="F62" s="307"/>
      <c r="G62" s="307"/>
      <c r="H62" s="595">
        <f t="shared" si="59"/>
        <v>44878</v>
      </c>
      <c r="I62" s="595">
        <f t="shared" si="60"/>
        <v>0</v>
      </c>
      <c r="J62" s="320" t="str">
        <f t="shared" si="62"/>
        <v/>
      </c>
      <c r="K62" s="321" t="str">
        <f t="shared" si="63"/>
        <v/>
      </c>
      <c r="L62" s="311">
        <v>103000</v>
      </c>
      <c r="M62" s="216" t="str">
        <f t="shared" si="61"/>
        <v/>
      </c>
      <c r="N62" s="612"/>
      <c r="O62" s="1143"/>
      <c r="P62" s="1144"/>
      <c r="Q62" s="1144"/>
      <c r="R62" s="1144"/>
      <c r="S62" s="1142"/>
      <c r="T62" s="322"/>
      <c r="U62" s="175"/>
      <c r="V62" s="175"/>
      <c r="W62" s="175"/>
    </row>
    <row r="63" spans="1:23" ht="18" customHeight="1">
      <c r="A63" s="1089"/>
      <c r="B63" s="1086"/>
      <c r="C63" s="1092"/>
      <c r="D63" s="1126"/>
      <c r="E63" s="1126"/>
      <c r="F63" s="307"/>
      <c r="G63" s="307"/>
      <c r="H63" s="595">
        <f t="shared" si="59"/>
        <v>44878</v>
      </c>
      <c r="I63" s="595">
        <f t="shared" si="60"/>
        <v>0</v>
      </c>
      <c r="J63" s="320" t="str">
        <f t="shared" si="62"/>
        <v/>
      </c>
      <c r="K63" s="321" t="str">
        <f t="shared" si="63"/>
        <v/>
      </c>
      <c r="L63" s="311">
        <v>122000</v>
      </c>
      <c r="M63" s="216" t="str">
        <f t="shared" si="61"/>
        <v/>
      </c>
      <c r="N63" s="612"/>
      <c r="O63" s="1143"/>
      <c r="P63" s="1144"/>
      <c r="Q63" s="1144"/>
      <c r="R63" s="1144"/>
      <c r="S63" s="1142"/>
      <c r="T63" s="322"/>
      <c r="U63" s="175"/>
      <c r="V63" s="175"/>
      <c r="W63" s="175"/>
    </row>
    <row r="64" spans="1:23" ht="18" customHeight="1">
      <c r="A64" s="1089"/>
      <c r="B64" s="1086"/>
      <c r="C64" s="1092"/>
      <c r="D64" s="1126"/>
      <c r="E64" s="1126"/>
      <c r="F64" s="307"/>
      <c r="G64" s="307"/>
      <c r="H64" s="595">
        <f t="shared" si="59"/>
        <v>44878</v>
      </c>
      <c r="I64" s="595">
        <f t="shared" si="60"/>
        <v>0</v>
      </c>
      <c r="J64" s="320" t="str">
        <f t="shared" si="62"/>
        <v/>
      </c>
      <c r="K64" s="321" t="str">
        <f t="shared" si="63"/>
        <v/>
      </c>
      <c r="L64" s="311">
        <v>47000</v>
      </c>
      <c r="M64" s="216" t="str">
        <f t="shared" si="61"/>
        <v/>
      </c>
      <c r="N64" s="612"/>
      <c r="O64" s="1143"/>
      <c r="P64" s="1144"/>
      <c r="Q64" s="1144"/>
      <c r="R64" s="1144"/>
      <c r="S64" s="1142"/>
      <c r="T64" s="322"/>
      <c r="U64" s="175"/>
      <c r="V64" s="175"/>
      <c r="W64" s="175"/>
    </row>
    <row r="65" spans="1:23" ht="18" customHeight="1">
      <c r="A65" s="1089"/>
      <c r="B65" s="1086"/>
      <c r="C65" s="1092"/>
      <c r="D65" s="1126"/>
      <c r="E65" s="1126"/>
      <c r="F65" s="307"/>
      <c r="G65" s="307"/>
      <c r="H65" s="623">
        <f t="shared" ref="H65" si="64">IF(F65&lt;=$I$6,$I$6,F65)</f>
        <v>44878</v>
      </c>
      <c r="I65" s="623">
        <f t="shared" ref="I65" si="65">IF(G65&lt;=$I$7,G65,$I$7)</f>
        <v>0</v>
      </c>
      <c r="J65" s="320" t="str">
        <f t="shared" si="62"/>
        <v/>
      </c>
      <c r="K65" s="321" t="str">
        <f t="shared" si="63"/>
        <v/>
      </c>
      <c r="L65" s="311">
        <v>67000</v>
      </c>
      <c r="M65" s="216" t="str">
        <f t="shared" ref="M65" si="66">IF(F65="","",L65*K65/J65)</f>
        <v/>
      </c>
      <c r="N65" s="612"/>
      <c r="O65" s="1143"/>
      <c r="P65" s="1144"/>
      <c r="Q65" s="1144"/>
      <c r="R65" s="1144"/>
      <c r="S65" s="1142"/>
      <c r="T65" s="322"/>
      <c r="U65" s="175"/>
      <c r="V65" s="175"/>
      <c r="W65" s="175"/>
    </row>
    <row r="66" spans="1:23" ht="18" customHeight="1">
      <c r="A66" s="1089"/>
      <c r="B66" s="1086"/>
      <c r="C66" s="1092"/>
      <c r="D66" s="1126"/>
      <c r="E66" s="1126"/>
      <c r="F66" s="307"/>
      <c r="G66" s="307"/>
      <c r="H66" s="595">
        <f t="shared" si="59"/>
        <v>44878</v>
      </c>
      <c r="I66" s="595">
        <f t="shared" si="60"/>
        <v>0</v>
      </c>
      <c r="J66" s="320" t="str">
        <f t="shared" ref="J66" si="67">IF(F66="","",G66-F66+1)</f>
        <v/>
      </c>
      <c r="K66" s="321" t="str">
        <f t="shared" ref="K66" si="68">IF(F66="","",I66-H66+1)</f>
        <v/>
      </c>
      <c r="L66" s="311">
        <v>69000</v>
      </c>
      <c r="M66" s="216" t="str">
        <f t="shared" si="61"/>
        <v/>
      </c>
      <c r="N66" s="612"/>
      <c r="O66" s="1143"/>
      <c r="P66" s="1144"/>
      <c r="Q66" s="1144"/>
      <c r="R66" s="1144"/>
      <c r="S66" s="1142"/>
      <c r="T66" s="322"/>
      <c r="U66" s="175"/>
      <c r="V66" s="175"/>
      <c r="W66" s="175"/>
    </row>
    <row r="67" spans="1:23" ht="18" customHeight="1" thickBot="1">
      <c r="A67" s="1089"/>
      <c r="B67" s="1086"/>
      <c r="C67" s="1092"/>
      <c r="D67" s="1125"/>
      <c r="E67" s="1125"/>
      <c r="F67" s="1099"/>
      <c r="G67" s="1100"/>
      <c r="H67" s="1100"/>
      <c r="I67" s="1100"/>
      <c r="J67" s="1100"/>
      <c r="K67" s="1101"/>
      <c r="L67" s="311"/>
      <c r="M67" s="216"/>
      <c r="N67" s="613"/>
      <c r="O67" s="1145"/>
      <c r="P67" s="1146"/>
      <c r="Q67" s="1146"/>
      <c r="R67" s="1146"/>
      <c r="S67" s="1147"/>
      <c r="T67" s="322"/>
      <c r="U67" s="175"/>
      <c r="V67" s="175"/>
      <c r="W67" s="175"/>
    </row>
    <row r="68" spans="1:23" ht="18" customHeight="1">
      <c r="A68" s="1089"/>
      <c r="B68" s="1086"/>
      <c r="C68" s="1092"/>
      <c r="D68" s="1124"/>
      <c r="E68" s="1124"/>
      <c r="F68" s="307"/>
      <c r="G68" s="307"/>
      <c r="H68" s="595">
        <f>IF(F68&lt;=$I$6,$I$6,F68)</f>
        <v>44878</v>
      </c>
      <c r="I68" s="595">
        <f>IF(G68&lt;=$I$7,G68,$I$7)</f>
        <v>0</v>
      </c>
      <c r="J68" s="320" t="str">
        <f t="shared" ref="J68:J71" si="69">IF(F68="","",G68-F68+1)</f>
        <v/>
      </c>
      <c r="K68" s="321" t="str">
        <f t="shared" ref="K68:K71" si="70">IF(F68="","",I68-H68+1)</f>
        <v/>
      </c>
      <c r="L68" s="311">
        <v>453000</v>
      </c>
      <c r="M68" s="216" t="str">
        <f>IF(F68="","",L68*K68/J68)</f>
        <v/>
      </c>
      <c r="N68" s="611">
        <v>122</v>
      </c>
      <c r="O68" s="610"/>
      <c r="P68" s="610"/>
      <c r="Q68" s="610"/>
      <c r="R68" s="610"/>
      <c r="S68" s="610"/>
      <c r="T68" s="322"/>
      <c r="U68" s="175"/>
      <c r="V68" s="175"/>
      <c r="W68" s="175"/>
    </row>
    <row r="69" spans="1:23" ht="18" customHeight="1">
      <c r="A69" s="1089"/>
      <c r="B69" s="1086"/>
      <c r="C69" s="1092"/>
      <c r="D69" s="1126"/>
      <c r="E69" s="1126"/>
      <c r="F69" s="307"/>
      <c r="G69" s="307"/>
      <c r="H69" s="595">
        <f>IF(F69&lt;=$I$6,$I$6,F69)</f>
        <v>44878</v>
      </c>
      <c r="I69" s="595">
        <f>IF(G69&lt;=$I$7,G69,$I$7)</f>
        <v>0</v>
      </c>
      <c r="J69" s="320" t="str">
        <f t="shared" si="69"/>
        <v/>
      </c>
      <c r="K69" s="321" t="str">
        <f t="shared" si="70"/>
        <v/>
      </c>
      <c r="L69" s="311">
        <v>477000</v>
      </c>
      <c r="M69" s="216" t="str">
        <f>IF(F69="","",L69*K69/J69)</f>
        <v/>
      </c>
      <c r="N69" s="612"/>
      <c r="O69" s="610"/>
      <c r="P69" s="610"/>
      <c r="Q69" s="610"/>
      <c r="R69" s="610"/>
      <c r="S69" s="610"/>
      <c r="T69" s="322"/>
      <c r="U69" s="175"/>
      <c r="V69" s="175"/>
      <c r="W69" s="175"/>
    </row>
    <row r="70" spans="1:23" ht="18" customHeight="1">
      <c r="A70" s="1089"/>
      <c r="B70" s="1086"/>
      <c r="C70" s="1092"/>
      <c r="D70" s="1126"/>
      <c r="E70" s="1126"/>
      <c r="F70" s="307"/>
      <c r="G70" s="307"/>
      <c r="H70" s="623">
        <f>IF(F70&lt;=$I$6,$I$6,F70)</f>
        <v>44878</v>
      </c>
      <c r="I70" s="623">
        <f>IF(G70&lt;=$I$7,G70,$I$7)</f>
        <v>0</v>
      </c>
      <c r="J70" s="320" t="str">
        <f t="shared" ref="J70" si="71">IF(F70="","",G70-F70+1)</f>
        <v/>
      </c>
      <c r="K70" s="321" t="str">
        <f t="shared" ref="K70" si="72">IF(F70="","",I70-H70+1)</f>
        <v/>
      </c>
      <c r="L70" s="311">
        <v>617000</v>
      </c>
      <c r="M70" s="216" t="str">
        <f>IF(F70="","",L70*K70/J70)</f>
        <v/>
      </c>
      <c r="N70" s="612"/>
      <c r="O70" s="621"/>
      <c r="P70" s="621"/>
      <c r="Q70" s="621"/>
      <c r="R70" s="621"/>
      <c r="S70" s="621"/>
      <c r="T70" s="322"/>
      <c r="U70" s="175"/>
      <c r="V70" s="175"/>
      <c r="W70" s="175"/>
    </row>
    <row r="71" spans="1:23" ht="18" customHeight="1">
      <c r="A71" s="1089"/>
      <c r="B71" s="1086"/>
      <c r="C71" s="1092"/>
      <c r="D71" s="1126"/>
      <c r="E71" s="1126"/>
      <c r="F71" s="307"/>
      <c r="G71" s="307"/>
      <c r="H71" s="595">
        <f>IF(F71&lt;=$I$6,$I$6,F71)</f>
        <v>44878</v>
      </c>
      <c r="I71" s="595">
        <f>IF(G71&lt;=$I$7,G71,$I$7)</f>
        <v>0</v>
      </c>
      <c r="J71" s="320" t="str">
        <f t="shared" si="69"/>
        <v/>
      </c>
      <c r="K71" s="321" t="str">
        <f t="shared" si="70"/>
        <v/>
      </c>
      <c r="L71" s="311">
        <v>356000</v>
      </c>
      <c r="M71" s="216" t="str">
        <f>IF(F71="","",L71*K71/J71)</f>
        <v/>
      </c>
      <c r="N71" s="612"/>
      <c r="O71" s="610"/>
      <c r="P71" s="610"/>
      <c r="Q71" s="610"/>
      <c r="R71" s="610"/>
      <c r="S71" s="610"/>
      <c r="T71" s="322"/>
      <c r="U71" s="175"/>
      <c r="V71" s="175"/>
      <c r="W71" s="175"/>
    </row>
    <row r="72" spans="1:23" ht="18" customHeight="1">
      <c r="A72" s="1089"/>
      <c r="B72" s="1086"/>
      <c r="C72" s="1092"/>
      <c r="D72" s="1125"/>
      <c r="E72" s="1125"/>
      <c r="F72" s="1099"/>
      <c r="G72" s="1100"/>
      <c r="H72" s="1100"/>
      <c r="I72" s="1100"/>
      <c r="J72" s="1100"/>
      <c r="K72" s="1101"/>
      <c r="L72" s="311"/>
      <c r="M72" s="216"/>
      <c r="N72" s="613"/>
      <c r="O72" s="610"/>
      <c r="P72" s="610"/>
      <c r="Q72" s="610"/>
      <c r="R72" s="610"/>
      <c r="S72" s="610"/>
      <c r="T72" s="322"/>
      <c r="U72" s="175"/>
      <c r="V72" s="175"/>
      <c r="W72" s="175"/>
    </row>
    <row r="73" spans="1:23" ht="18" customHeight="1">
      <c r="A73" s="1089"/>
      <c r="B73" s="1086"/>
      <c r="C73" s="1092"/>
      <c r="D73" s="1124"/>
      <c r="E73" s="1124"/>
      <c r="F73" s="307"/>
      <c r="G73" s="307"/>
      <c r="H73" s="595">
        <f>IF(F73&lt;=$I$6,$I$6,F73)</f>
        <v>44878</v>
      </c>
      <c r="I73" s="595">
        <f>IF(G73&lt;=$I$7,G73,$I$7)</f>
        <v>0</v>
      </c>
      <c r="J73" s="320" t="str">
        <f t="shared" ref="J73" si="73">IF(F73="","",G73-F73+1)</f>
        <v/>
      </c>
      <c r="K73" s="321" t="str">
        <f t="shared" ref="K73" si="74">IF(F73="","",I73-H73+1)</f>
        <v/>
      </c>
      <c r="L73" s="311">
        <v>123000</v>
      </c>
      <c r="M73" s="216" t="str">
        <f>IF(F73="","",L73*K73/J73)</f>
        <v/>
      </c>
      <c r="N73" s="611">
        <v>155</v>
      </c>
      <c r="O73" s="610"/>
      <c r="P73" s="610"/>
      <c r="Q73" s="610"/>
      <c r="R73" s="610"/>
      <c r="S73" s="610"/>
      <c r="T73" s="322"/>
      <c r="U73" s="175"/>
      <c r="V73" s="175"/>
      <c r="W73" s="175"/>
    </row>
    <row r="74" spans="1:23" ht="18" customHeight="1">
      <c r="A74" s="1089"/>
      <c r="B74" s="1086"/>
      <c r="C74" s="1093"/>
      <c r="D74" s="1125"/>
      <c r="E74" s="1125"/>
      <c r="F74" s="1099"/>
      <c r="G74" s="1100"/>
      <c r="H74" s="1100"/>
      <c r="I74" s="1100"/>
      <c r="J74" s="1100"/>
      <c r="K74" s="1101"/>
      <c r="L74" s="311"/>
      <c r="M74" s="216"/>
      <c r="N74" s="613"/>
      <c r="O74" s="610"/>
      <c r="P74" s="610"/>
      <c r="Q74" s="610"/>
      <c r="R74" s="610"/>
      <c r="S74" s="610"/>
      <c r="T74" s="322"/>
      <c r="U74" s="175"/>
      <c r="V74" s="175"/>
      <c r="W74" s="175"/>
    </row>
    <row r="75" spans="1:23" ht="18" customHeight="1">
      <c r="A75" s="1089"/>
      <c r="B75" s="1086"/>
      <c r="C75" s="1098" t="s">
        <v>102</v>
      </c>
      <c r="D75" s="1098"/>
      <c r="E75" s="1098"/>
      <c r="F75" s="1098"/>
      <c r="G75" s="1098"/>
      <c r="H75" s="1098"/>
      <c r="I75" s="1098"/>
      <c r="J75" s="1098"/>
      <c r="K75" s="1098"/>
      <c r="L75" s="1098"/>
      <c r="M75" s="315">
        <f>SUM(M39:M74)</f>
        <v>0</v>
      </c>
      <c r="N75" s="316"/>
    </row>
    <row r="76" spans="1:23" ht="18" customHeight="1">
      <c r="A76" s="1089"/>
      <c r="B76" s="1086"/>
      <c r="C76" s="1105" t="s">
        <v>506</v>
      </c>
      <c r="D76" s="1124"/>
      <c r="E76" s="1124"/>
      <c r="F76" s="307"/>
      <c r="G76" s="307"/>
      <c r="H76" s="308">
        <f>IF(F76&lt;=$I$6,$I$6,F76)</f>
        <v>44878</v>
      </c>
      <c r="I76" s="308">
        <f>IF(G76&lt;=$I$7,G76,$I$7)</f>
        <v>0</v>
      </c>
      <c r="J76" s="320" t="str">
        <f>IF(F76="","",G76-F76+1)</f>
        <v/>
      </c>
      <c r="K76" s="321" t="str">
        <f>IF(F76="","",I76-H76+1)</f>
        <v/>
      </c>
      <c r="L76" s="311">
        <v>998000</v>
      </c>
      <c r="M76" s="216" t="str">
        <f>IF(F76="","",L76*K76/J76)</f>
        <v/>
      </c>
      <c r="N76" s="611">
        <v>45</v>
      </c>
    </row>
    <row r="77" spans="1:23" ht="18" customHeight="1">
      <c r="A77" s="1089"/>
      <c r="B77" s="1086"/>
      <c r="C77" s="1105"/>
      <c r="D77" s="1126"/>
      <c r="E77" s="1126"/>
      <c r="F77" s="307"/>
      <c r="G77" s="307"/>
      <c r="H77" s="595">
        <f>IF(F77&lt;=$I$6,$I$6,F77)</f>
        <v>44878</v>
      </c>
      <c r="I77" s="595">
        <f>IF(G77&lt;=$I$7,G77,$I$7)</f>
        <v>0</v>
      </c>
      <c r="J77" s="320" t="str">
        <f>IF(F77="","",G77-F77+1)</f>
        <v/>
      </c>
      <c r="K77" s="321" t="str">
        <f>IF(F77="","",I77-H77+1)</f>
        <v/>
      </c>
      <c r="L77" s="311">
        <v>792000</v>
      </c>
      <c r="M77" s="216" t="str">
        <f>IF(F77="","",L77*K77/J77)</f>
        <v/>
      </c>
      <c r="N77" s="612"/>
    </row>
    <row r="78" spans="1:23" ht="18" customHeight="1">
      <c r="A78" s="1089"/>
      <c r="B78" s="1086"/>
      <c r="C78" s="1105"/>
      <c r="D78" s="1126"/>
      <c r="E78" s="1126"/>
      <c r="F78" s="307"/>
      <c r="G78" s="307"/>
      <c r="H78" s="595">
        <f>IF(F78&lt;=$I$6,$I$6,F78)</f>
        <v>44878</v>
      </c>
      <c r="I78" s="595">
        <f>IF(G78&lt;=$I$7,G78,$I$7)</f>
        <v>0</v>
      </c>
      <c r="J78" s="320" t="str">
        <f>IF(F78="","",G78-F78+1)</f>
        <v/>
      </c>
      <c r="K78" s="321" t="str">
        <f>IF(F78="","",I78-H78+1)</f>
        <v/>
      </c>
      <c r="L78" s="311">
        <v>718000</v>
      </c>
      <c r="M78" s="216" t="str">
        <f>IF(F78="","",L78*K78/J78)</f>
        <v/>
      </c>
      <c r="N78" s="612"/>
    </row>
    <row r="79" spans="1:23" ht="18" customHeight="1">
      <c r="A79" s="1089"/>
      <c r="B79" s="1086"/>
      <c r="C79" s="1095"/>
      <c r="D79" s="1125"/>
      <c r="E79" s="1125"/>
      <c r="F79" s="1099"/>
      <c r="G79" s="1100"/>
      <c r="H79" s="1100"/>
      <c r="I79" s="1100"/>
      <c r="J79" s="1100"/>
      <c r="K79" s="1101"/>
      <c r="L79" s="311"/>
      <c r="M79" s="216"/>
      <c r="N79" s="613"/>
    </row>
    <row r="80" spans="1:23" ht="18" customHeight="1">
      <c r="A80" s="1089"/>
      <c r="B80" s="1086"/>
      <c r="C80" s="1095"/>
      <c r="D80" s="1124"/>
      <c r="E80" s="1124"/>
      <c r="F80" s="307"/>
      <c r="G80" s="307"/>
      <c r="H80" s="308">
        <f>IF(F80&lt;=$I$6,$I$6,F80)</f>
        <v>44878</v>
      </c>
      <c r="I80" s="308">
        <f>IF(G80&lt;=$I$7,G80,$I$7)</f>
        <v>0</v>
      </c>
      <c r="J80" s="320" t="str">
        <f>IF(F80="","",G80-F80+1)</f>
        <v/>
      </c>
      <c r="K80" s="321" t="str">
        <f>IF(F80="","",I80-H80+1)</f>
        <v/>
      </c>
      <c r="L80" s="311">
        <v>320000</v>
      </c>
      <c r="M80" s="216" t="str">
        <f>IF(F80="","",L80*K80/J80)</f>
        <v/>
      </c>
      <c r="N80" s="611">
        <v>51</v>
      </c>
    </row>
    <row r="81" spans="1:256" ht="18" customHeight="1">
      <c r="A81" s="1089"/>
      <c r="B81" s="1086"/>
      <c r="C81" s="1095"/>
      <c r="D81" s="1126"/>
      <c r="E81" s="1126"/>
      <c r="F81" s="307"/>
      <c r="G81" s="307"/>
      <c r="H81" s="623">
        <f>IF(F81&lt;=$I$6,$I$6,F81)</f>
        <v>44878</v>
      </c>
      <c r="I81" s="623">
        <f>IF(G81&lt;=$I$7,G81,$I$7)</f>
        <v>0</v>
      </c>
      <c r="J81" s="320" t="str">
        <f>IF(F81="","",G81-F81+1)</f>
        <v/>
      </c>
      <c r="K81" s="321" t="str">
        <f>IF(F81="","",I81-H81+1)</f>
        <v/>
      </c>
      <c r="L81" s="311">
        <v>266000</v>
      </c>
      <c r="M81" s="216" t="str">
        <f>IF(F81="","",L81*K81/J81)</f>
        <v/>
      </c>
      <c r="N81" s="612"/>
    </row>
    <row r="82" spans="1:256" ht="18" customHeight="1">
      <c r="A82" s="1089"/>
      <c r="B82" s="1086"/>
      <c r="C82" s="1095"/>
      <c r="D82" s="1126"/>
      <c r="E82" s="1126"/>
      <c r="F82" s="307"/>
      <c r="G82" s="307"/>
      <c r="H82" s="623">
        <f>IF(F82&lt;=$I$6,$I$6,F82)</f>
        <v>44878</v>
      </c>
      <c r="I82" s="623">
        <f>IF(G82&lt;=$I$7,G82,$I$7)</f>
        <v>0</v>
      </c>
      <c r="J82" s="320" t="str">
        <f>IF(F82="","",G82-F82+1)</f>
        <v/>
      </c>
      <c r="K82" s="321" t="str">
        <f>IF(F82="","",I82-H82+1)</f>
        <v/>
      </c>
      <c r="L82" s="311">
        <v>259000</v>
      </c>
      <c r="M82" s="216" t="str">
        <f>IF(F82="","",L82*K82/J82)</f>
        <v/>
      </c>
      <c r="N82" s="612"/>
    </row>
    <row r="83" spans="1:256" ht="18" customHeight="1">
      <c r="A83" s="1089"/>
      <c r="B83" s="1086"/>
      <c r="C83" s="1095"/>
      <c r="D83" s="1125"/>
      <c r="E83" s="1125"/>
      <c r="F83" s="1099"/>
      <c r="G83" s="1100"/>
      <c r="H83" s="1100"/>
      <c r="I83" s="1100"/>
      <c r="J83" s="1100"/>
      <c r="K83" s="1101"/>
      <c r="L83" s="311"/>
      <c r="M83" s="216"/>
      <c r="N83" s="613"/>
    </row>
    <row r="84" spans="1:256" ht="18" customHeight="1">
      <c r="A84" s="1089"/>
      <c r="B84" s="1086"/>
      <c r="C84" s="1095"/>
      <c r="D84" s="1124"/>
      <c r="E84" s="1124"/>
      <c r="F84" s="307"/>
      <c r="G84" s="307"/>
      <c r="H84" s="308">
        <f>IF(F84&lt;=$I$6,$I$6,F84)</f>
        <v>44878</v>
      </c>
      <c r="I84" s="308">
        <f>IF(G84&lt;=$I$7,G84,$I$7)</f>
        <v>0</v>
      </c>
      <c r="J84" s="320" t="str">
        <f>IF(F84="","",G84-F84+1)</f>
        <v/>
      </c>
      <c r="K84" s="321" t="str">
        <f>IF(F84="","",I84-H84+1)</f>
        <v/>
      </c>
      <c r="L84" s="311">
        <v>208000</v>
      </c>
      <c r="M84" s="216" t="str">
        <f>IF(F84="","",L84*K84/J84)</f>
        <v/>
      </c>
      <c r="N84" s="611">
        <v>58</v>
      </c>
    </row>
    <row r="85" spans="1:256" ht="18" customHeight="1">
      <c r="A85" s="1089"/>
      <c r="B85" s="1086"/>
      <c r="C85" s="1095"/>
      <c r="D85" s="1126"/>
      <c r="E85" s="1126"/>
      <c r="F85" s="307"/>
      <c r="G85" s="307"/>
      <c r="H85" s="623">
        <f>IF(F85&lt;=$I$6,$I$6,F85)</f>
        <v>44878</v>
      </c>
      <c r="I85" s="623">
        <f>IF(G85&lt;=$I$7,G85,$I$7)</f>
        <v>0</v>
      </c>
      <c r="J85" s="320" t="str">
        <f>IF(F85="","",G85-F85+1)</f>
        <v/>
      </c>
      <c r="K85" s="321" t="str">
        <f>IF(F85="","",I85-H85+1)</f>
        <v/>
      </c>
      <c r="L85" s="311">
        <v>185000</v>
      </c>
      <c r="M85" s="216" t="str">
        <f>IF(F85="","",L85*K85/J85)</f>
        <v/>
      </c>
      <c r="N85" s="612"/>
    </row>
    <row r="86" spans="1:256" ht="18" customHeight="1">
      <c r="A86" s="1089"/>
      <c r="B86" s="1086"/>
      <c r="C86" s="1095"/>
      <c r="D86" s="1125"/>
      <c r="E86" s="1125"/>
      <c r="F86" s="1099"/>
      <c r="G86" s="1100"/>
      <c r="H86" s="1100"/>
      <c r="I86" s="1100"/>
      <c r="J86" s="1100"/>
      <c r="K86" s="1101"/>
      <c r="L86" s="311"/>
      <c r="M86" s="216"/>
      <c r="N86" s="612"/>
    </row>
    <row r="87" spans="1:256" ht="18" customHeight="1">
      <c r="A87" s="1089"/>
      <c r="B87" s="1086"/>
      <c r="C87" s="1095"/>
      <c r="D87" s="1124"/>
      <c r="E87" s="1124"/>
      <c r="F87" s="307"/>
      <c r="G87" s="307"/>
      <c r="H87" s="308">
        <f>IF(F87&lt;=$I$6,$I$6,F87)</f>
        <v>44878</v>
      </c>
      <c r="I87" s="308">
        <f>IF(G87&lt;=$I$7,G87,$I$7)</f>
        <v>0</v>
      </c>
      <c r="J87" s="320" t="str">
        <f>IF(F87="","",G87-F87+1)</f>
        <v/>
      </c>
      <c r="K87" s="321" t="str">
        <f>IF(F87="","",I87-H87+1)</f>
        <v/>
      </c>
      <c r="L87" s="311">
        <v>350000</v>
      </c>
      <c r="M87" s="216" t="str">
        <f>IF(F87="","",L87*K87/J87)</f>
        <v/>
      </c>
      <c r="N87" s="611">
        <v>85</v>
      </c>
    </row>
    <row r="88" spans="1:256" ht="18" customHeight="1">
      <c r="A88" s="1089"/>
      <c r="B88" s="1086"/>
      <c r="C88" s="1095"/>
      <c r="D88" s="1126"/>
      <c r="E88" s="1126"/>
      <c r="F88" s="307"/>
      <c r="G88" s="307"/>
      <c r="H88" s="595">
        <f>IF(F88&lt;=$I$6,$I$6,F88)</f>
        <v>44878</v>
      </c>
      <c r="I88" s="595">
        <f>IF(G88&lt;=$I$7,G88,$I$7)</f>
        <v>0</v>
      </c>
      <c r="J88" s="320" t="str">
        <f>IF(F88="","",G88-F88+1)</f>
        <v/>
      </c>
      <c r="K88" s="321" t="str">
        <f>IF(F88="","",I88-H88+1)</f>
        <v/>
      </c>
      <c r="L88" s="311">
        <v>532000</v>
      </c>
      <c r="M88" s="216" t="str">
        <f>IF(F88="","",L88*K88/J88)</f>
        <v/>
      </c>
      <c r="N88" s="612"/>
    </row>
    <row r="89" spans="1:256" ht="18" customHeight="1">
      <c r="A89" s="1089"/>
      <c r="B89" s="1086"/>
      <c r="C89" s="1095"/>
      <c r="D89" s="1125"/>
      <c r="E89" s="1125"/>
      <c r="F89" s="1099"/>
      <c r="G89" s="1100"/>
      <c r="H89" s="1100"/>
      <c r="I89" s="1100"/>
      <c r="J89" s="1100"/>
      <c r="K89" s="1101"/>
      <c r="L89" s="311"/>
      <c r="M89" s="216"/>
      <c r="N89" s="613"/>
    </row>
    <row r="90" spans="1:256" ht="18" customHeight="1">
      <c r="A90" s="1090"/>
      <c r="B90" s="1087"/>
      <c r="C90" s="1104" t="s">
        <v>158</v>
      </c>
      <c r="D90" s="1104"/>
      <c r="E90" s="1104"/>
      <c r="F90" s="1104"/>
      <c r="G90" s="1104"/>
      <c r="H90" s="1104"/>
      <c r="I90" s="1104"/>
      <c r="J90" s="1104"/>
      <c r="K90" s="1104"/>
      <c r="L90" s="1104"/>
      <c r="M90" s="323">
        <f>SUM(M76:M89)*0.5</f>
        <v>0</v>
      </c>
      <c r="N90" s="316"/>
    </row>
    <row r="91" spans="1:256" ht="18" customHeight="1">
      <c r="A91" s="159"/>
      <c r="B91" s="159"/>
      <c r="C91" s="159"/>
      <c r="D91" s="159"/>
      <c r="E91" s="159"/>
      <c r="F91" s="159"/>
      <c r="G91" s="159"/>
      <c r="H91" s="159"/>
      <c r="I91" s="159"/>
      <c r="J91" s="159"/>
      <c r="K91" s="324"/>
      <c r="L91" s="159"/>
      <c r="M91" s="159"/>
      <c r="N91" s="129"/>
      <c r="O91" s="159"/>
      <c r="P91" s="159"/>
      <c r="Q91" s="159"/>
      <c r="R91" s="159"/>
      <c r="S91" s="159"/>
      <c r="T91" s="159"/>
      <c r="U91" s="159"/>
      <c r="V91" s="159"/>
      <c r="W91" s="159"/>
      <c r="X91" s="159"/>
      <c r="Y91" s="159"/>
      <c r="Z91" s="159"/>
      <c r="AA91" s="159"/>
      <c r="AB91" s="159"/>
      <c r="AC91" s="159"/>
      <c r="AD91" s="159"/>
      <c r="AE91" s="159"/>
      <c r="AF91" s="159"/>
      <c r="AG91" s="159"/>
      <c r="AH91" s="159"/>
      <c r="AI91" s="159"/>
      <c r="AJ91" s="159"/>
      <c r="AK91" s="159"/>
      <c r="AL91" s="159"/>
      <c r="AM91" s="159"/>
      <c r="AN91" s="159"/>
      <c r="AO91" s="159"/>
      <c r="AP91" s="159"/>
      <c r="AQ91" s="159"/>
      <c r="AR91" s="159"/>
      <c r="AS91" s="159"/>
      <c r="AT91" s="159"/>
      <c r="AU91" s="159"/>
      <c r="AV91" s="159"/>
      <c r="AW91" s="159"/>
      <c r="AX91" s="159"/>
      <c r="AY91" s="159"/>
      <c r="AZ91" s="159"/>
      <c r="BA91" s="159"/>
      <c r="BB91" s="159"/>
      <c r="BC91" s="159"/>
      <c r="BD91" s="159"/>
      <c r="BE91" s="159"/>
      <c r="BF91" s="159"/>
      <c r="BG91" s="159"/>
      <c r="BH91" s="159"/>
      <c r="BI91" s="159"/>
      <c r="BJ91" s="159"/>
      <c r="BK91" s="159"/>
      <c r="BL91" s="159"/>
      <c r="BM91" s="159"/>
      <c r="BN91" s="159"/>
      <c r="BO91" s="159"/>
      <c r="BP91" s="159"/>
      <c r="BQ91" s="159"/>
      <c r="BR91" s="159"/>
      <c r="BS91" s="159"/>
      <c r="BT91" s="159"/>
      <c r="BU91" s="159"/>
      <c r="BV91" s="159"/>
      <c r="BW91" s="159"/>
      <c r="BX91" s="159"/>
      <c r="BY91" s="159"/>
      <c r="BZ91" s="159"/>
      <c r="CA91" s="159"/>
      <c r="CB91" s="159"/>
      <c r="CC91" s="159"/>
      <c r="CD91" s="159"/>
      <c r="CE91" s="159"/>
      <c r="CF91" s="159"/>
      <c r="CG91" s="159"/>
      <c r="CH91" s="159"/>
      <c r="CI91" s="159"/>
      <c r="CJ91" s="159"/>
      <c r="CK91" s="159"/>
      <c r="CL91" s="159"/>
      <c r="CM91" s="159"/>
      <c r="CN91" s="159"/>
      <c r="CO91" s="159"/>
      <c r="CP91" s="159"/>
      <c r="CQ91" s="159"/>
      <c r="CR91" s="159"/>
      <c r="CS91" s="159"/>
      <c r="CT91" s="159"/>
      <c r="CU91" s="159"/>
      <c r="CV91" s="159"/>
      <c r="CW91" s="159"/>
      <c r="CX91" s="159"/>
      <c r="CY91" s="159"/>
      <c r="CZ91" s="159"/>
      <c r="DA91" s="159"/>
      <c r="DB91" s="159"/>
      <c r="DC91" s="159"/>
      <c r="DD91" s="159"/>
      <c r="DE91" s="159"/>
      <c r="DF91" s="159"/>
      <c r="DG91" s="159"/>
      <c r="DH91" s="159"/>
      <c r="DI91" s="159"/>
      <c r="DJ91" s="159"/>
      <c r="DK91" s="159"/>
      <c r="DL91" s="159"/>
      <c r="DM91" s="159"/>
      <c r="DN91" s="159"/>
      <c r="DO91" s="159"/>
      <c r="DP91" s="159"/>
      <c r="DQ91" s="159"/>
      <c r="DR91" s="159"/>
      <c r="DS91" s="159"/>
      <c r="DT91" s="159"/>
      <c r="DU91" s="159"/>
      <c r="DV91" s="159"/>
      <c r="DW91" s="159"/>
      <c r="DX91" s="159"/>
      <c r="DY91" s="159"/>
      <c r="DZ91" s="159"/>
      <c r="EA91" s="159"/>
      <c r="EB91" s="159"/>
      <c r="EC91" s="159"/>
      <c r="ED91" s="159"/>
      <c r="EE91" s="159"/>
      <c r="EF91" s="159"/>
      <c r="EG91" s="159"/>
      <c r="EH91" s="159"/>
      <c r="EI91" s="159"/>
      <c r="EJ91" s="159"/>
      <c r="EK91" s="159"/>
      <c r="EL91" s="159"/>
      <c r="EM91" s="159"/>
      <c r="EN91" s="159"/>
      <c r="EO91" s="159"/>
      <c r="EP91" s="159"/>
      <c r="EQ91" s="159"/>
      <c r="ER91" s="159"/>
      <c r="ES91" s="159"/>
      <c r="ET91" s="159"/>
      <c r="EU91" s="159"/>
      <c r="EV91" s="159"/>
      <c r="EW91" s="159"/>
      <c r="EX91" s="159"/>
      <c r="EY91" s="159"/>
      <c r="EZ91" s="159"/>
      <c r="FA91" s="159"/>
      <c r="FB91" s="159"/>
      <c r="FC91" s="159"/>
      <c r="FD91" s="159"/>
      <c r="FE91" s="159"/>
      <c r="FF91" s="159"/>
      <c r="FG91" s="159"/>
      <c r="FH91" s="159"/>
      <c r="FI91" s="159"/>
      <c r="FJ91" s="159"/>
      <c r="FK91" s="159"/>
      <c r="FL91" s="159"/>
      <c r="FM91" s="159"/>
      <c r="FN91" s="159"/>
      <c r="FO91" s="159"/>
      <c r="FP91" s="159"/>
      <c r="FQ91" s="159"/>
      <c r="FR91" s="159"/>
      <c r="FS91" s="159"/>
      <c r="FT91" s="159"/>
      <c r="FU91" s="159"/>
      <c r="FV91" s="159"/>
      <c r="FW91" s="159"/>
      <c r="FX91" s="159"/>
      <c r="FY91" s="159"/>
      <c r="FZ91" s="159"/>
      <c r="GA91" s="159"/>
      <c r="GB91" s="159"/>
      <c r="GC91" s="159"/>
      <c r="GD91" s="159"/>
      <c r="GE91" s="159"/>
      <c r="GF91" s="159"/>
      <c r="GG91" s="159"/>
      <c r="GH91" s="159"/>
      <c r="GI91" s="159"/>
      <c r="GJ91" s="159"/>
      <c r="GK91" s="159"/>
      <c r="GL91" s="159"/>
      <c r="GM91" s="159"/>
      <c r="GN91" s="159"/>
      <c r="GO91" s="159"/>
      <c r="GP91" s="159"/>
      <c r="GQ91" s="159"/>
      <c r="GR91" s="159"/>
      <c r="GS91" s="159"/>
      <c r="GT91" s="159"/>
      <c r="GU91" s="159"/>
      <c r="GV91" s="159"/>
      <c r="GW91" s="159"/>
      <c r="GX91" s="159"/>
      <c r="GY91" s="159"/>
      <c r="GZ91" s="159"/>
      <c r="HA91" s="159"/>
      <c r="HB91" s="159"/>
      <c r="HC91" s="159"/>
      <c r="HD91" s="159"/>
      <c r="HE91" s="159"/>
      <c r="HF91" s="159"/>
      <c r="HG91" s="159"/>
      <c r="HH91" s="159"/>
      <c r="HI91" s="159"/>
      <c r="HJ91" s="159"/>
      <c r="HK91" s="159"/>
      <c r="HL91" s="159"/>
      <c r="HM91" s="159"/>
      <c r="HN91" s="159"/>
      <c r="HO91" s="159"/>
      <c r="HP91" s="159"/>
      <c r="HQ91" s="159"/>
      <c r="HR91" s="159"/>
      <c r="HS91" s="159"/>
      <c r="HT91" s="159"/>
      <c r="HU91" s="159"/>
      <c r="HV91" s="159"/>
      <c r="HW91" s="159"/>
      <c r="HX91" s="159"/>
      <c r="HY91" s="159"/>
      <c r="HZ91" s="159"/>
      <c r="IA91" s="159"/>
      <c r="IB91" s="159"/>
      <c r="IC91" s="159"/>
      <c r="ID91" s="159"/>
      <c r="IE91" s="159"/>
      <c r="IF91" s="159"/>
      <c r="IG91" s="159"/>
      <c r="IH91" s="159"/>
      <c r="II91" s="159"/>
      <c r="IJ91" s="159"/>
      <c r="IK91" s="159"/>
      <c r="IL91" s="159"/>
      <c r="IM91" s="159"/>
      <c r="IN91" s="159"/>
      <c r="IO91" s="159"/>
      <c r="IP91" s="159"/>
      <c r="IQ91" s="159"/>
      <c r="IR91" s="159"/>
      <c r="IS91" s="159"/>
      <c r="IT91" s="159"/>
      <c r="IU91" s="159"/>
      <c r="IV91" s="159"/>
    </row>
    <row r="92" spans="1:256" ht="18" customHeight="1"/>
    <row r="93" spans="1:256" ht="22.5" customHeight="1">
      <c r="A93" s="1120" t="s">
        <v>159</v>
      </c>
      <c r="B93" s="1120"/>
      <c r="C93" s="1120"/>
      <c r="E93" s="1121" t="str">
        <f>A7</f>
        <v>B</v>
      </c>
      <c r="F93" s="1121"/>
      <c r="G93" s="1121"/>
      <c r="H93" s="1121"/>
      <c r="I93" s="1121"/>
      <c r="J93" s="1121"/>
      <c r="K93" s="1121"/>
    </row>
    <row r="94" spans="1:256" ht="15" customHeight="1">
      <c r="A94" s="1091" t="str">
        <f>A14</f>
        <v>건설사업관리
용역업자회사명</v>
      </c>
      <c r="B94" s="1095" t="s">
        <v>160</v>
      </c>
      <c r="C94" s="1095"/>
      <c r="D94" s="1095" t="s">
        <v>161</v>
      </c>
      <c r="E94" s="1095" t="s">
        <v>162</v>
      </c>
      <c r="F94" s="1113" t="s">
        <v>163</v>
      </c>
      <c r="G94" s="1113"/>
      <c r="H94" s="1113" t="s">
        <v>164</v>
      </c>
      <c r="I94" s="1113"/>
      <c r="J94" s="1114" t="s">
        <v>165</v>
      </c>
      <c r="K94" s="1116" t="s">
        <v>166</v>
      </c>
      <c r="L94" s="1118" t="s">
        <v>167</v>
      </c>
      <c r="M94" s="1106" t="s">
        <v>168</v>
      </c>
      <c r="N94" s="1108" t="s">
        <v>169</v>
      </c>
    </row>
    <row r="95" spans="1:256" ht="15" customHeight="1">
      <c r="A95" s="1093"/>
      <c r="B95" s="1095"/>
      <c r="C95" s="1095"/>
      <c r="D95" s="1095"/>
      <c r="E95" s="1095"/>
      <c r="F95" s="304" t="s">
        <v>170</v>
      </c>
      <c r="G95" s="304" t="s">
        <v>171</v>
      </c>
      <c r="H95" s="304" t="s">
        <v>172</v>
      </c>
      <c r="I95" s="304" t="s">
        <v>173</v>
      </c>
      <c r="J95" s="1115"/>
      <c r="K95" s="1117"/>
      <c r="L95" s="1119"/>
      <c r="M95" s="1107"/>
      <c r="N95" s="1109"/>
    </row>
    <row r="96" spans="1:256" ht="44.25" customHeight="1">
      <c r="A96" s="1110" t="str">
        <f>A7</f>
        <v>B</v>
      </c>
      <c r="B96" s="1085" t="s">
        <v>174</v>
      </c>
      <c r="C96" s="601" t="s">
        <v>510</v>
      </c>
      <c r="D96" s="306"/>
      <c r="E96" s="622"/>
      <c r="F96" s="307"/>
      <c r="G96" s="307"/>
      <c r="H96" s="308">
        <f t="shared" ref="H96" si="75">IF(F96&lt;=$I$6,$I$6,F96)</f>
        <v>44878</v>
      </c>
      <c r="I96" s="308">
        <f t="shared" ref="I96" si="76">IF(G96&lt;=$I$7,G96,$I$7)</f>
        <v>0</v>
      </c>
      <c r="J96" s="320" t="str">
        <f t="shared" ref="J96" si="77">IF(F96="","",G96-F96+1)</f>
        <v/>
      </c>
      <c r="K96" s="321" t="str">
        <f t="shared" ref="K96" si="78">IF(F96="","",I96-H96+1)</f>
        <v/>
      </c>
      <c r="L96" s="311">
        <v>275000</v>
      </c>
      <c r="M96" s="216" t="str">
        <f t="shared" ref="M96" si="79">IF(F96="","",L96*K96/J96)</f>
        <v/>
      </c>
      <c r="N96" s="304">
        <v>10</v>
      </c>
      <c r="P96" s="305"/>
      <c r="Q96" s="313"/>
      <c r="R96" s="305"/>
      <c r="S96" s="305"/>
      <c r="T96" s="313"/>
      <c r="U96" s="314"/>
      <c r="V96" s="314"/>
    </row>
    <row r="97" spans="1:22" ht="15" customHeight="1">
      <c r="A97" s="1110"/>
      <c r="B97" s="1086"/>
      <c r="C97" s="1098" t="s">
        <v>158</v>
      </c>
      <c r="D97" s="1098"/>
      <c r="E97" s="1098"/>
      <c r="F97" s="1098"/>
      <c r="G97" s="1098"/>
      <c r="H97" s="1098"/>
      <c r="I97" s="1098"/>
      <c r="J97" s="1098"/>
      <c r="K97" s="1098"/>
      <c r="L97" s="1098"/>
      <c r="M97" s="325">
        <f>SUM(M96:M96)</f>
        <v>0</v>
      </c>
      <c r="N97" s="316"/>
    </row>
    <row r="98" spans="1:22" ht="44.25" customHeight="1">
      <c r="A98" s="1110"/>
      <c r="B98" s="1086"/>
      <c r="C98" s="1105" t="s">
        <v>512</v>
      </c>
      <c r="D98" s="602"/>
      <c r="E98" s="602"/>
      <c r="F98" s="307"/>
      <c r="G98" s="307"/>
      <c r="H98" s="308">
        <f t="shared" ref="H98:H103" si="80">IF(F98&lt;=$I$6,$I$6,F98)</f>
        <v>44878</v>
      </c>
      <c r="I98" s="308">
        <f t="shared" ref="I98:I103" si="81">IF(G98&lt;=$I$7,G98,$I$7)</f>
        <v>0</v>
      </c>
      <c r="J98" s="320" t="str">
        <f t="shared" ref="J98:J103" si="82">IF(F98="","",G98-F98+1)</f>
        <v/>
      </c>
      <c r="K98" s="321" t="str">
        <f t="shared" ref="K98:K103" si="83">IF(F98="","",I98-H98+1)</f>
        <v/>
      </c>
      <c r="L98" s="311">
        <v>1317000</v>
      </c>
      <c r="M98" s="216" t="str">
        <f t="shared" ref="M98:M103" si="84">IF(F98="","",L98*K98/J98)</f>
        <v/>
      </c>
      <c r="N98" s="592">
        <v>4</v>
      </c>
      <c r="P98" s="305"/>
      <c r="Q98" s="313"/>
      <c r="R98" s="305"/>
      <c r="S98" s="305"/>
      <c r="T98" s="313"/>
      <c r="U98" s="314"/>
      <c r="V98" s="314"/>
    </row>
    <row r="99" spans="1:22" ht="44.25" customHeight="1">
      <c r="A99" s="1110"/>
      <c r="B99" s="1086"/>
      <c r="C99" s="1095"/>
      <c r="D99" s="306"/>
      <c r="E99" s="602"/>
      <c r="F99" s="307"/>
      <c r="G99" s="307"/>
      <c r="H99" s="308">
        <f t="shared" si="80"/>
        <v>44878</v>
      </c>
      <c r="I99" s="308">
        <f t="shared" si="81"/>
        <v>0</v>
      </c>
      <c r="J99" s="320" t="str">
        <f t="shared" si="82"/>
        <v/>
      </c>
      <c r="K99" s="321" t="str">
        <f t="shared" si="83"/>
        <v/>
      </c>
      <c r="L99" s="311">
        <v>899000</v>
      </c>
      <c r="M99" s="216" t="str">
        <f t="shared" si="84"/>
        <v/>
      </c>
      <c r="N99" s="592">
        <v>6</v>
      </c>
      <c r="P99" s="305"/>
      <c r="Q99" s="313"/>
      <c r="R99" s="305"/>
      <c r="S99" s="305"/>
      <c r="T99" s="313"/>
      <c r="U99" s="314"/>
      <c r="V99" s="314"/>
    </row>
    <row r="100" spans="1:22" ht="44.25" customHeight="1">
      <c r="A100" s="1110"/>
      <c r="B100" s="1086"/>
      <c r="C100" s="1095"/>
      <c r="D100" s="306"/>
      <c r="E100" s="602"/>
      <c r="F100" s="307"/>
      <c r="G100" s="307"/>
      <c r="H100" s="308">
        <f t="shared" si="80"/>
        <v>44878</v>
      </c>
      <c r="I100" s="308">
        <f t="shared" si="81"/>
        <v>0</v>
      </c>
      <c r="J100" s="320" t="str">
        <f t="shared" si="82"/>
        <v/>
      </c>
      <c r="K100" s="321" t="str">
        <f t="shared" si="83"/>
        <v/>
      </c>
      <c r="L100" s="311">
        <v>755000</v>
      </c>
      <c r="M100" s="216" t="str">
        <f t="shared" si="84"/>
        <v/>
      </c>
      <c r="N100" s="592">
        <v>9</v>
      </c>
      <c r="P100" s="305"/>
      <c r="Q100" s="313"/>
      <c r="R100" s="305"/>
      <c r="S100" s="305"/>
      <c r="T100" s="313"/>
      <c r="U100" s="314"/>
      <c r="V100" s="314"/>
    </row>
    <row r="101" spans="1:22" ht="44.25" customHeight="1">
      <c r="A101" s="1110"/>
      <c r="B101" s="1086"/>
      <c r="C101" s="1095"/>
      <c r="D101" s="306"/>
      <c r="E101" s="602"/>
      <c r="F101" s="307"/>
      <c r="G101" s="307"/>
      <c r="H101" s="308">
        <f t="shared" si="80"/>
        <v>44878</v>
      </c>
      <c r="I101" s="308">
        <f t="shared" si="81"/>
        <v>0</v>
      </c>
      <c r="J101" s="320" t="str">
        <f t="shared" si="82"/>
        <v/>
      </c>
      <c r="K101" s="321" t="str">
        <f t="shared" si="83"/>
        <v/>
      </c>
      <c r="L101" s="311">
        <v>485000</v>
      </c>
      <c r="M101" s="216" t="str">
        <f t="shared" si="84"/>
        <v/>
      </c>
      <c r="N101" s="592">
        <v>10</v>
      </c>
      <c r="P101" s="305"/>
      <c r="Q101" s="313"/>
      <c r="R101" s="305"/>
      <c r="S101" s="305"/>
      <c r="T101" s="313"/>
      <c r="U101" s="314"/>
      <c r="V101" s="314"/>
    </row>
    <row r="102" spans="1:22" ht="44.25" customHeight="1">
      <c r="A102" s="1110"/>
      <c r="B102" s="1086"/>
      <c r="C102" s="1095"/>
      <c r="D102" s="306"/>
      <c r="E102" s="602"/>
      <c r="F102" s="307"/>
      <c r="G102" s="307"/>
      <c r="H102" s="308">
        <f t="shared" si="80"/>
        <v>44878</v>
      </c>
      <c r="I102" s="308">
        <f t="shared" si="81"/>
        <v>0</v>
      </c>
      <c r="J102" s="320" t="str">
        <f t="shared" si="82"/>
        <v/>
      </c>
      <c r="K102" s="321" t="str">
        <f t="shared" si="83"/>
        <v/>
      </c>
      <c r="L102" s="311">
        <v>482000</v>
      </c>
      <c r="M102" s="216" t="str">
        <f t="shared" si="84"/>
        <v/>
      </c>
      <c r="N102" s="592">
        <v>11</v>
      </c>
      <c r="P102" s="305"/>
      <c r="Q102" s="313"/>
      <c r="R102" s="305"/>
      <c r="S102" s="305"/>
      <c r="T102" s="313"/>
      <c r="U102" s="314"/>
      <c r="V102" s="314"/>
    </row>
    <row r="103" spans="1:22" ht="44.25" customHeight="1">
      <c r="A103" s="1110"/>
      <c r="B103" s="1086"/>
      <c r="C103" s="1095"/>
      <c r="D103" s="306"/>
      <c r="E103" s="602"/>
      <c r="F103" s="307"/>
      <c r="G103" s="307"/>
      <c r="H103" s="308">
        <f t="shared" si="80"/>
        <v>44878</v>
      </c>
      <c r="I103" s="308">
        <f t="shared" si="81"/>
        <v>0</v>
      </c>
      <c r="J103" s="320" t="str">
        <f t="shared" si="82"/>
        <v/>
      </c>
      <c r="K103" s="321" t="str">
        <f t="shared" si="83"/>
        <v/>
      </c>
      <c r="L103" s="311">
        <v>641000</v>
      </c>
      <c r="M103" s="216" t="str">
        <f t="shared" si="84"/>
        <v/>
      </c>
      <c r="N103" s="592">
        <v>12</v>
      </c>
      <c r="P103" s="305"/>
      <c r="Q103" s="313"/>
      <c r="R103" s="305"/>
      <c r="S103" s="305"/>
      <c r="T103" s="313"/>
      <c r="U103" s="314"/>
      <c r="V103" s="314"/>
    </row>
    <row r="104" spans="1:22" ht="15" customHeight="1">
      <c r="A104" s="1110"/>
      <c r="B104" s="1087"/>
      <c r="C104" s="1104" t="s">
        <v>158</v>
      </c>
      <c r="D104" s="1104"/>
      <c r="E104" s="1104"/>
      <c r="F104" s="1104"/>
      <c r="G104" s="1104"/>
      <c r="H104" s="1104"/>
      <c r="I104" s="1104"/>
      <c r="J104" s="1104"/>
      <c r="K104" s="1104"/>
      <c r="L104" s="1104"/>
      <c r="M104" s="326">
        <f>SUM(M98:M103)*0.5</f>
        <v>0</v>
      </c>
      <c r="N104" s="316"/>
    </row>
    <row r="105" spans="1:22" ht="15" customHeight="1"/>
    <row r="106" spans="1:22" ht="15" customHeight="1">
      <c r="A106" s="1091" t="str">
        <f>A14</f>
        <v>건설사업관리
용역업자회사명</v>
      </c>
      <c r="B106" s="1095" t="s">
        <v>160</v>
      </c>
      <c r="C106" s="1095"/>
      <c r="D106" s="1095" t="s">
        <v>161</v>
      </c>
      <c r="E106" s="1095" t="s">
        <v>162</v>
      </c>
      <c r="F106" s="1113" t="s">
        <v>177</v>
      </c>
      <c r="G106" s="1113"/>
      <c r="H106" s="1113" t="s">
        <v>164</v>
      </c>
      <c r="I106" s="1113"/>
      <c r="J106" s="1114" t="s">
        <v>165</v>
      </c>
      <c r="K106" s="1116" t="s">
        <v>166</v>
      </c>
      <c r="L106" s="1118" t="s">
        <v>167</v>
      </c>
      <c r="M106" s="1106" t="s">
        <v>168</v>
      </c>
      <c r="N106" s="1108" t="s">
        <v>169</v>
      </c>
    </row>
    <row r="107" spans="1:22" ht="15" customHeight="1">
      <c r="A107" s="1093"/>
      <c r="B107" s="1095"/>
      <c r="C107" s="1095"/>
      <c r="D107" s="1095"/>
      <c r="E107" s="1095"/>
      <c r="F107" s="304" t="s">
        <v>170</v>
      </c>
      <c r="G107" s="304" t="s">
        <v>178</v>
      </c>
      <c r="H107" s="304" t="s">
        <v>172</v>
      </c>
      <c r="I107" s="304" t="s">
        <v>173</v>
      </c>
      <c r="J107" s="1115"/>
      <c r="K107" s="1117"/>
      <c r="L107" s="1119"/>
      <c r="M107" s="1107"/>
      <c r="N107" s="1109"/>
    </row>
    <row r="108" spans="1:22" ht="18" customHeight="1">
      <c r="A108" s="1088" t="str">
        <f>$A$7</f>
        <v>B</v>
      </c>
      <c r="B108" s="1085" t="s">
        <v>179</v>
      </c>
      <c r="C108" s="1091" t="s">
        <v>511</v>
      </c>
      <c r="D108" s="1124"/>
      <c r="E108" s="1124"/>
      <c r="F108" s="307"/>
      <c r="G108" s="307"/>
      <c r="H108" s="308">
        <f>IF(F108&lt;=$I$6,$I$6,F108)</f>
        <v>44878</v>
      </c>
      <c r="I108" s="308">
        <f>IF(G108&lt;=$I$7,G108,$I$7)</f>
        <v>0</v>
      </c>
      <c r="J108" s="320" t="str">
        <f>IF(F108="","",G108-F108+1)</f>
        <v/>
      </c>
      <c r="K108" s="321" t="str">
        <f>IF(F108="","",I108-H108+1)</f>
        <v/>
      </c>
      <c r="L108" s="311">
        <v>74000</v>
      </c>
      <c r="M108" s="216" t="str">
        <f>IF(F108="","",L108*K108/J108)</f>
        <v/>
      </c>
      <c r="N108" s="1122">
        <v>36</v>
      </c>
    </row>
    <row r="109" spans="1:22" ht="18" customHeight="1">
      <c r="A109" s="1089"/>
      <c r="B109" s="1086"/>
      <c r="C109" s="1092"/>
      <c r="D109" s="1126"/>
      <c r="E109" s="1126"/>
      <c r="F109" s="307"/>
      <c r="G109" s="307"/>
      <c r="H109" s="603">
        <f>IF(F109&lt;=$I$6,$I$6,F109)</f>
        <v>44878</v>
      </c>
      <c r="I109" s="603">
        <f>IF(G109&lt;=$I$7,G109,$I$7)</f>
        <v>0</v>
      </c>
      <c r="J109" s="320" t="str">
        <f>IF(F109="","",G109-F109+1)</f>
        <v/>
      </c>
      <c r="K109" s="321" t="str">
        <f>IF(F109="","",I109-H109+1)</f>
        <v/>
      </c>
      <c r="L109" s="311">
        <v>202000</v>
      </c>
      <c r="M109" s="216" t="str">
        <f>IF(F109="","",L109*K109/J109)</f>
        <v/>
      </c>
      <c r="N109" s="1127"/>
    </row>
    <row r="110" spans="1:22" ht="18" customHeight="1">
      <c r="A110" s="1089"/>
      <c r="B110" s="1086"/>
      <c r="C110" s="1092"/>
      <c r="D110" s="1125"/>
      <c r="E110" s="1125"/>
      <c r="F110" s="1099"/>
      <c r="G110" s="1100"/>
      <c r="H110" s="1100"/>
      <c r="I110" s="1100"/>
      <c r="J110" s="1100"/>
      <c r="K110" s="1101"/>
      <c r="L110" s="311"/>
      <c r="M110" s="216"/>
      <c r="N110" s="1123"/>
    </row>
    <row r="111" spans="1:22" ht="18" customHeight="1">
      <c r="A111" s="1089"/>
      <c r="B111" s="1086"/>
      <c r="C111" s="1092"/>
      <c r="D111" s="1124"/>
      <c r="E111" s="1124"/>
      <c r="F111" s="307"/>
      <c r="G111" s="307"/>
      <c r="H111" s="308">
        <f t="shared" ref="H111:H117" si="85">IF(F111&lt;=$I$6,$I$6,F111)</f>
        <v>44878</v>
      </c>
      <c r="I111" s="308">
        <f t="shared" ref="I111:I117" si="86">IF(G111&lt;=$I$7,G111,$I$7)</f>
        <v>0</v>
      </c>
      <c r="J111" s="320" t="str">
        <f t="shared" ref="J111:J117" si="87">IF(F111="","",G111-F111+1)</f>
        <v/>
      </c>
      <c r="K111" s="321" t="str">
        <f t="shared" ref="K111:K117" si="88">IF(F111="","",I111-H111+1)</f>
        <v/>
      </c>
      <c r="L111" s="311">
        <v>118000</v>
      </c>
      <c r="M111" s="216" t="str">
        <f t="shared" ref="M111:M117" si="89">IF(F111="","",L111*K111/J111)</f>
        <v/>
      </c>
      <c r="N111" s="1122">
        <v>45</v>
      </c>
    </row>
    <row r="112" spans="1:22" ht="18" customHeight="1">
      <c r="A112" s="1089"/>
      <c r="B112" s="1086"/>
      <c r="C112" s="1092"/>
      <c r="D112" s="1126"/>
      <c r="E112" s="1126"/>
      <c r="F112" s="307"/>
      <c r="G112" s="307"/>
      <c r="H112" s="603">
        <f t="shared" si="85"/>
        <v>44878</v>
      </c>
      <c r="I112" s="603">
        <f t="shared" si="86"/>
        <v>0</v>
      </c>
      <c r="J112" s="320" t="str">
        <f t="shared" si="87"/>
        <v/>
      </c>
      <c r="K112" s="321" t="str">
        <f t="shared" si="88"/>
        <v/>
      </c>
      <c r="L112" s="311">
        <v>47000</v>
      </c>
      <c r="M112" s="216" t="str">
        <f t="shared" si="89"/>
        <v/>
      </c>
      <c r="N112" s="1127"/>
    </row>
    <row r="113" spans="1:14" ht="18" customHeight="1">
      <c r="A113" s="1089"/>
      <c r="B113" s="1086"/>
      <c r="C113" s="1092"/>
      <c r="D113" s="1126"/>
      <c r="E113" s="1126"/>
      <c r="F113" s="307"/>
      <c r="G113" s="307"/>
      <c r="H113" s="603">
        <f t="shared" si="85"/>
        <v>44878</v>
      </c>
      <c r="I113" s="603">
        <f t="shared" si="86"/>
        <v>0</v>
      </c>
      <c r="J113" s="320" t="str">
        <f t="shared" si="87"/>
        <v/>
      </c>
      <c r="K113" s="321" t="str">
        <f t="shared" si="88"/>
        <v/>
      </c>
      <c r="L113" s="311">
        <v>157000</v>
      </c>
      <c r="M113" s="216" t="str">
        <f t="shared" si="89"/>
        <v/>
      </c>
      <c r="N113" s="1127"/>
    </row>
    <row r="114" spans="1:14" ht="18" customHeight="1">
      <c r="A114" s="1089"/>
      <c r="B114" s="1086"/>
      <c r="C114" s="1092"/>
      <c r="D114" s="1126"/>
      <c r="E114" s="1126"/>
      <c r="F114" s="307"/>
      <c r="G114" s="307"/>
      <c r="H114" s="603">
        <f t="shared" si="85"/>
        <v>44878</v>
      </c>
      <c r="I114" s="603">
        <f t="shared" si="86"/>
        <v>0</v>
      </c>
      <c r="J114" s="320" t="str">
        <f t="shared" si="87"/>
        <v/>
      </c>
      <c r="K114" s="321" t="str">
        <f t="shared" si="88"/>
        <v/>
      </c>
      <c r="L114" s="311">
        <v>151000</v>
      </c>
      <c r="M114" s="216" t="str">
        <f t="shared" si="89"/>
        <v/>
      </c>
      <c r="N114" s="1127"/>
    </row>
    <row r="115" spans="1:14" ht="18" customHeight="1">
      <c r="A115" s="1089"/>
      <c r="B115" s="1086"/>
      <c r="C115" s="1092"/>
      <c r="D115" s="1126"/>
      <c r="E115" s="1126"/>
      <c r="F115" s="307"/>
      <c r="G115" s="307"/>
      <c r="H115" s="603">
        <f t="shared" si="85"/>
        <v>44878</v>
      </c>
      <c r="I115" s="603">
        <f t="shared" si="86"/>
        <v>0</v>
      </c>
      <c r="J115" s="320" t="str">
        <f t="shared" si="87"/>
        <v/>
      </c>
      <c r="K115" s="321" t="str">
        <f t="shared" si="88"/>
        <v/>
      </c>
      <c r="L115" s="311">
        <v>166000</v>
      </c>
      <c r="M115" s="216" t="str">
        <f t="shared" si="89"/>
        <v/>
      </c>
      <c r="N115" s="1127"/>
    </row>
    <row r="116" spans="1:14" ht="18" customHeight="1">
      <c r="A116" s="1089"/>
      <c r="B116" s="1086"/>
      <c r="C116" s="1092"/>
      <c r="D116" s="1126"/>
      <c r="E116" s="1126"/>
      <c r="F116" s="307"/>
      <c r="G116" s="307"/>
      <c r="H116" s="603">
        <f t="shared" si="85"/>
        <v>44878</v>
      </c>
      <c r="I116" s="603">
        <f t="shared" si="86"/>
        <v>0</v>
      </c>
      <c r="J116" s="320" t="str">
        <f t="shared" si="87"/>
        <v/>
      </c>
      <c r="K116" s="321" t="str">
        <f t="shared" si="88"/>
        <v/>
      </c>
      <c r="L116" s="311">
        <v>158000</v>
      </c>
      <c r="M116" s="216" t="str">
        <f t="shared" si="89"/>
        <v/>
      </c>
      <c r="N116" s="1127"/>
    </row>
    <row r="117" spans="1:14" ht="18" customHeight="1">
      <c r="A117" s="1089"/>
      <c r="B117" s="1086"/>
      <c r="C117" s="1092"/>
      <c r="D117" s="1126"/>
      <c r="E117" s="1126"/>
      <c r="F117" s="307"/>
      <c r="G117" s="307"/>
      <c r="H117" s="603">
        <f t="shared" si="85"/>
        <v>44878</v>
      </c>
      <c r="I117" s="603">
        <f t="shared" si="86"/>
        <v>0</v>
      </c>
      <c r="J117" s="320" t="str">
        <f t="shared" si="87"/>
        <v/>
      </c>
      <c r="K117" s="321" t="str">
        <f t="shared" si="88"/>
        <v/>
      </c>
      <c r="L117" s="311">
        <v>75000</v>
      </c>
      <c r="M117" s="216" t="str">
        <f t="shared" si="89"/>
        <v/>
      </c>
      <c r="N117" s="1127"/>
    </row>
    <row r="118" spans="1:14" ht="18" customHeight="1">
      <c r="A118" s="1089"/>
      <c r="B118" s="1086"/>
      <c r="C118" s="1092"/>
      <c r="D118" s="1125"/>
      <c r="E118" s="1125"/>
      <c r="F118" s="1099"/>
      <c r="G118" s="1100"/>
      <c r="H118" s="1100"/>
      <c r="I118" s="1100"/>
      <c r="J118" s="1100"/>
      <c r="K118" s="1101"/>
      <c r="L118" s="311"/>
      <c r="M118" s="216"/>
      <c r="N118" s="1123"/>
    </row>
    <row r="119" spans="1:14" ht="18" customHeight="1">
      <c r="A119" s="1089"/>
      <c r="B119" s="1086"/>
      <c r="C119" s="1092"/>
      <c r="D119" s="1124"/>
      <c r="E119" s="1124"/>
      <c r="F119" s="307"/>
      <c r="G119" s="307"/>
      <c r="H119" s="308">
        <f>IF(F119&lt;=$I$6,$I$6,F119)</f>
        <v>44878</v>
      </c>
      <c r="I119" s="308">
        <f>IF(G119&lt;=$I$7,G119,$I$7)</f>
        <v>0</v>
      </c>
      <c r="J119" s="320" t="str">
        <f>IF(F119="","",G119-F119+1)</f>
        <v/>
      </c>
      <c r="K119" s="321" t="str">
        <f>IF(F119="","",I119-H119+1)</f>
        <v/>
      </c>
      <c r="L119" s="311">
        <v>177000</v>
      </c>
      <c r="M119" s="216" t="str">
        <f>IF(F119="","",L119*K119/J119)</f>
        <v/>
      </c>
      <c r="N119" s="1122">
        <v>47</v>
      </c>
    </row>
    <row r="120" spans="1:14" ht="18" customHeight="1">
      <c r="A120" s="1089"/>
      <c r="B120" s="1086"/>
      <c r="C120" s="1092"/>
      <c r="D120" s="1126"/>
      <c r="E120" s="1126"/>
      <c r="F120" s="307"/>
      <c r="G120" s="307"/>
      <c r="H120" s="603">
        <f>IF(F120&lt;=$I$6,$I$6,F120)</f>
        <v>44878</v>
      </c>
      <c r="I120" s="603">
        <f>IF(G120&lt;=$I$7,G120,$I$7)</f>
        <v>0</v>
      </c>
      <c r="J120" s="320" t="str">
        <f>IF(F120="","",G120-F120+1)</f>
        <v/>
      </c>
      <c r="K120" s="321" t="str">
        <f>IF(F120="","",I120-H120+1)</f>
        <v/>
      </c>
      <c r="L120" s="311">
        <v>369000</v>
      </c>
      <c r="M120" s="216" t="str">
        <f>IF(F120="","",L120*K120/J120)</f>
        <v/>
      </c>
      <c r="N120" s="1127"/>
    </row>
    <row r="121" spans="1:14" ht="18" customHeight="1">
      <c r="A121" s="1089"/>
      <c r="B121" s="1086"/>
      <c r="C121" s="1092"/>
      <c r="D121" s="1126"/>
      <c r="E121" s="1126"/>
      <c r="F121" s="307"/>
      <c r="G121" s="307"/>
      <c r="H121" s="603">
        <f>IF(F121&lt;=$I$6,$I$6,F121)</f>
        <v>44878</v>
      </c>
      <c r="I121" s="603">
        <f>IF(G121&lt;=$I$7,G121,$I$7)</f>
        <v>0</v>
      </c>
      <c r="J121" s="320" t="str">
        <f>IF(F121="","",G121-F121+1)</f>
        <v/>
      </c>
      <c r="K121" s="321" t="str">
        <f>IF(F121="","",I121-H121+1)</f>
        <v/>
      </c>
      <c r="L121" s="311">
        <v>108000</v>
      </c>
      <c r="M121" s="216" t="str">
        <f>IF(F121="","",L121*K121/J121)</f>
        <v/>
      </c>
      <c r="N121" s="1127"/>
    </row>
    <row r="122" spans="1:14" ht="18" customHeight="1">
      <c r="A122" s="1090"/>
      <c r="B122" s="1087"/>
      <c r="C122" s="1093"/>
      <c r="D122" s="1125"/>
      <c r="E122" s="1125"/>
      <c r="F122" s="1099"/>
      <c r="G122" s="1100"/>
      <c r="H122" s="1100"/>
      <c r="I122" s="1100"/>
      <c r="J122" s="1100"/>
      <c r="K122" s="1101"/>
      <c r="L122" s="311"/>
      <c r="M122" s="216"/>
      <c r="N122" s="1123"/>
    </row>
    <row r="123" spans="1:14" ht="18" customHeight="1">
      <c r="A123" s="1088" t="str">
        <f>$A$7</f>
        <v>B</v>
      </c>
      <c r="B123" s="1085" t="s">
        <v>157</v>
      </c>
      <c r="C123" s="1091" t="s">
        <v>510</v>
      </c>
      <c r="D123" s="1124"/>
      <c r="E123" s="1124"/>
      <c r="F123" s="307"/>
      <c r="G123" s="307"/>
      <c r="H123" s="308">
        <f t="shared" ref="H123:H129" si="90">IF(F123&lt;=$I$6,$I$6,F123)</f>
        <v>44878</v>
      </c>
      <c r="I123" s="308">
        <f t="shared" ref="I123:I129" si="91">IF(G123&lt;=$I$7,G123,$I$7)</f>
        <v>0</v>
      </c>
      <c r="J123" s="320" t="str">
        <f t="shared" ref="J123:J129" si="92">IF(F123="","",G123-F123+1)</f>
        <v/>
      </c>
      <c r="K123" s="321" t="str">
        <f t="shared" ref="K123:K129" si="93">IF(F123="","",I123-H123+1)</f>
        <v/>
      </c>
      <c r="L123" s="311">
        <v>47000</v>
      </c>
      <c r="M123" s="216" t="str">
        <f t="shared" ref="M123:M129" si="94">IF(F123="","",L123*K123/J123)</f>
        <v/>
      </c>
      <c r="N123" s="1122">
        <v>75</v>
      </c>
    </row>
    <row r="124" spans="1:14" ht="18" customHeight="1">
      <c r="A124" s="1089"/>
      <c r="B124" s="1086"/>
      <c r="C124" s="1092"/>
      <c r="D124" s="1126"/>
      <c r="E124" s="1126"/>
      <c r="F124" s="307"/>
      <c r="G124" s="307"/>
      <c r="H124" s="603">
        <f t="shared" si="90"/>
        <v>44878</v>
      </c>
      <c r="I124" s="603">
        <f t="shared" si="91"/>
        <v>0</v>
      </c>
      <c r="J124" s="320" t="str">
        <f t="shared" si="92"/>
        <v/>
      </c>
      <c r="K124" s="321" t="str">
        <f t="shared" si="93"/>
        <v/>
      </c>
      <c r="L124" s="311">
        <v>196000</v>
      </c>
      <c r="M124" s="216" t="str">
        <f t="shared" si="94"/>
        <v/>
      </c>
      <c r="N124" s="1127"/>
    </row>
    <row r="125" spans="1:14" ht="18" customHeight="1">
      <c r="A125" s="1089"/>
      <c r="B125" s="1086"/>
      <c r="C125" s="1092"/>
      <c r="D125" s="1126"/>
      <c r="E125" s="1126"/>
      <c r="F125" s="307"/>
      <c r="G125" s="307"/>
      <c r="H125" s="603">
        <f t="shared" si="90"/>
        <v>44878</v>
      </c>
      <c r="I125" s="603">
        <f t="shared" si="91"/>
        <v>0</v>
      </c>
      <c r="J125" s="320" t="str">
        <f t="shared" si="92"/>
        <v/>
      </c>
      <c r="K125" s="321" t="str">
        <f t="shared" si="93"/>
        <v/>
      </c>
      <c r="L125" s="311">
        <v>166000</v>
      </c>
      <c r="M125" s="216" t="str">
        <f t="shared" si="94"/>
        <v/>
      </c>
      <c r="N125" s="1127"/>
    </row>
    <row r="126" spans="1:14" ht="18" customHeight="1">
      <c r="A126" s="1089"/>
      <c r="B126" s="1086"/>
      <c r="C126" s="1092"/>
      <c r="D126" s="1126"/>
      <c r="E126" s="1126"/>
      <c r="F126" s="307"/>
      <c r="G126" s="307"/>
      <c r="H126" s="603">
        <f t="shared" si="90"/>
        <v>44878</v>
      </c>
      <c r="I126" s="603">
        <f t="shared" si="91"/>
        <v>0</v>
      </c>
      <c r="J126" s="320" t="str">
        <f t="shared" si="92"/>
        <v/>
      </c>
      <c r="K126" s="321" t="str">
        <f t="shared" si="93"/>
        <v/>
      </c>
      <c r="L126" s="311">
        <v>195000</v>
      </c>
      <c r="M126" s="216" t="str">
        <f t="shared" si="94"/>
        <v/>
      </c>
      <c r="N126" s="1127"/>
    </row>
    <row r="127" spans="1:14" ht="18" customHeight="1">
      <c r="A127" s="1089"/>
      <c r="B127" s="1086"/>
      <c r="C127" s="1092"/>
      <c r="D127" s="1126"/>
      <c r="E127" s="1126"/>
      <c r="F127" s="307"/>
      <c r="G127" s="307"/>
      <c r="H127" s="603">
        <f t="shared" si="90"/>
        <v>44878</v>
      </c>
      <c r="I127" s="603">
        <f t="shared" si="91"/>
        <v>0</v>
      </c>
      <c r="J127" s="320" t="str">
        <f t="shared" si="92"/>
        <v/>
      </c>
      <c r="K127" s="321" t="str">
        <f t="shared" si="93"/>
        <v/>
      </c>
      <c r="L127" s="311">
        <v>75000</v>
      </c>
      <c r="M127" s="216" t="str">
        <f t="shared" si="94"/>
        <v/>
      </c>
      <c r="N127" s="1127"/>
    </row>
    <row r="128" spans="1:14" ht="18" customHeight="1">
      <c r="A128" s="1089"/>
      <c r="B128" s="1086"/>
      <c r="C128" s="1092"/>
      <c r="D128" s="1126"/>
      <c r="E128" s="1126"/>
      <c r="F128" s="307"/>
      <c r="G128" s="307"/>
      <c r="H128" s="623">
        <f t="shared" ref="H128" si="95">IF(F128&lt;=$I$6,$I$6,F128)</f>
        <v>44878</v>
      </c>
      <c r="I128" s="623">
        <f t="shared" ref="I128" si="96">IF(G128&lt;=$I$7,G128,$I$7)</f>
        <v>0</v>
      </c>
      <c r="J128" s="320" t="str">
        <f t="shared" ref="J128" si="97">IF(F128="","",G128-F128+1)</f>
        <v/>
      </c>
      <c r="K128" s="321" t="str">
        <f t="shared" ref="K128" si="98">IF(F128="","",I128-H128+1)</f>
        <v/>
      </c>
      <c r="L128" s="311">
        <v>108000</v>
      </c>
      <c r="M128" s="216" t="str">
        <f t="shared" ref="M128" si="99">IF(F128="","",L128*K128/J128)</f>
        <v/>
      </c>
      <c r="N128" s="1127"/>
    </row>
    <row r="129" spans="1:14" ht="18" customHeight="1">
      <c r="A129" s="1089"/>
      <c r="B129" s="1086"/>
      <c r="C129" s="1092"/>
      <c r="D129" s="1126"/>
      <c r="E129" s="1126"/>
      <c r="F129" s="307"/>
      <c r="G129" s="307"/>
      <c r="H129" s="603">
        <f t="shared" si="90"/>
        <v>44878</v>
      </c>
      <c r="I129" s="603">
        <f t="shared" si="91"/>
        <v>0</v>
      </c>
      <c r="J129" s="320" t="str">
        <f t="shared" si="92"/>
        <v/>
      </c>
      <c r="K129" s="321" t="str">
        <f t="shared" si="93"/>
        <v/>
      </c>
      <c r="L129" s="311">
        <v>111000</v>
      </c>
      <c r="M129" s="216" t="str">
        <f t="shared" si="94"/>
        <v/>
      </c>
      <c r="N129" s="1127"/>
    </row>
    <row r="130" spans="1:14" ht="18" customHeight="1">
      <c r="A130" s="1089"/>
      <c r="B130" s="1086"/>
      <c r="C130" s="1092"/>
      <c r="D130" s="1125"/>
      <c r="E130" s="1125"/>
      <c r="F130" s="1099"/>
      <c r="G130" s="1100"/>
      <c r="H130" s="1100"/>
      <c r="I130" s="1100"/>
      <c r="J130" s="1100"/>
      <c r="K130" s="1101"/>
      <c r="L130" s="311"/>
      <c r="M130" s="216"/>
      <c r="N130" s="1123"/>
    </row>
    <row r="131" spans="1:14" ht="18" customHeight="1">
      <c r="A131" s="1089"/>
      <c r="B131" s="1086"/>
      <c r="C131" s="1092"/>
      <c r="D131" s="1124"/>
      <c r="E131" s="1124"/>
      <c r="F131" s="307"/>
      <c r="G131" s="307"/>
      <c r="H131" s="308">
        <f>IF(F131&lt;=$I$6,$I$6,F131)</f>
        <v>44878</v>
      </c>
      <c r="I131" s="308">
        <f>IF(G131&lt;=$I$7,G131,$I$7)</f>
        <v>0</v>
      </c>
      <c r="J131" s="320" t="str">
        <f>IF(F131="","",G131-F131+1)</f>
        <v/>
      </c>
      <c r="K131" s="321" t="str">
        <f>IF(F131="","",I131-H131+1)</f>
        <v/>
      </c>
      <c r="L131" s="311">
        <v>129000</v>
      </c>
      <c r="M131" s="216" t="str">
        <f>IF(F131="","",L131*K131/J131)</f>
        <v/>
      </c>
      <c r="N131" s="1122">
        <v>111</v>
      </c>
    </row>
    <row r="132" spans="1:14" ht="18" customHeight="1">
      <c r="A132" s="1089"/>
      <c r="B132" s="1086"/>
      <c r="C132" s="1093"/>
      <c r="D132" s="1125"/>
      <c r="E132" s="1125"/>
      <c r="F132" s="1099"/>
      <c r="G132" s="1100"/>
      <c r="H132" s="1100"/>
      <c r="I132" s="1100"/>
      <c r="J132" s="1100"/>
      <c r="K132" s="1101"/>
      <c r="L132" s="311"/>
      <c r="M132" s="216"/>
      <c r="N132" s="1123"/>
    </row>
    <row r="133" spans="1:14" ht="15" customHeight="1">
      <c r="A133" s="1089"/>
      <c r="B133" s="1086"/>
      <c r="C133" s="1098" t="s">
        <v>158</v>
      </c>
      <c r="D133" s="1098"/>
      <c r="E133" s="1098"/>
      <c r="F133" s="1098"/>
      <c r="G133" s="1098"/>
      <c r="H133" s="1098"/>
      <c r="I133" s="1098"/>
      <c r="J133" s="1098"/>
      <c r="K133" s="1098"/>
      <c r="L133" s="1098"/>
      <c r="M133" s="325">
        <f>SUM(M108:M132)</f>
        <v>0</v>
      </c>
      <c r="N133" s="316"/>
    </row>
    <row r="134" spans="1:14" ht="18" customHeight="1">
      <c r="A134" s="1089"/>
      <c r="B134" s="1086"/>
      <c r="C134" s="1105" t="s">
        <v>512</v>
      </c>
      <c r="D134" s="1124"/>
      <c r="E134" s="1124"/>
      <c r="F134" s="307"/>
      <c r="G134" s="307"/>
      <c r="H134" s="308">
        <f>IF(F134&lt;=$I$6,$I$6,F134)</f>
        <v>44878</v>
      </c>
      <c r="I134" s="308">
        <f>IF(G134&lt;=$I$7,G134,$I$7)</f>
        <v>0</v>
      </c>
      <c r="J134" s="320" t="str">
        <f>IF(F134="","",G134-F134+1)</f>
        <v/>
      </c>
      <c r="K134" s="321" t="str">
        <f>IF(F134="","",I134-H134+1)</f>
        <v/>
      </c>
      <c r="L134" s="311">
        <v>174000</v>
      </c>
      <c r="M134" s="216" t="str">
        <f>IF(F134="","",L134*K134/J134)</f>
        <v/>
      </c>
      <c r="N134" s="1122">
        <v>21</v>
      </c>
    </row>
    <row r="135" spans="1:14" ht="18" customHeight="1">
      <c r="A135" s="1089"/>
      <c r="B135" s="1086"/>
      <c r="C135" s="1105"/>
      <c r="D135" s="1126"/>
      <c r="E135" s="1126"/>
      <c r="F135" s="307"/>
      <c r="G135" s="307"/>
      <c r="H135" s="603">
        <f>IF(F135&lt;=$I$6,$I$6,F135)</f>
        <v>44878</v>
      </c>
      <c r="I135" s="603">
        <f>IF(G135&lt;=$I$7,G135,$I$7)</f>
        <v>0</v>
      </c>
      <c r="J135" s="320" t="str">
        <f>IF(F135="","",G135-F135+1)</f>
        <v/>
      </c>
      <c r="K135" s="321" t="str">
        <f>IF(F135="","",I135-H135+1)</f>
        <v/>
      </c>
      <c r="L135" s="311">
        <v>330000</v>
      </c>
      <c r="M135" s="216" t="str">
        <f>IF(F135="","",L135*K135/J135)</f>
        <v/>
      </c>
      <c r="N135" s="1127"/>
    </row>
    <row r="136" spans="1:14" ht="18" customHeight="1">
      <c r="A136" s="1089"/>
      <c r="B136" s="1086"/>
      <c r="C136" s="1095"/>
      <c r="D136" s="1125"/>
      <c r="E136" s="1125"/>
      <c r="F136" s="1099"/>
      <c r="G136" s="1100"/>
      <c r="H136" s="1100"/>
      <c r="I136" s="1100"/>
      <c r="J136" s="1100"/>
      <c r="K136" s="1101"/>
      <c r="L136" s="311"/>
      <c r="M136" s="216"/>
      <c r="N136" s="1123"/>
    </row>
    <row r="137" spans="1:14" ht="18" customHeight="1">
      <c r="A137" s="1089"/>
      <c r="B137" s="1086"/>
      <c r="C137" s="1095"/>
      <c r="D137" s="1124"/>
      <c r="E137" s="1124"/>
      <c r="F137" s="307"/>
      <c r="G137" s="307"/>
      <c r="H137" s="308">
        <f>IF(F137&lt;=$I$6,$I$6,F137)</f>
        <v>44878</v>
      </c>
      <c r="I137" s="308">
        <f>IF(G137&lt;=$I$7,G137,$I$7)</f>
        <v>0</v>
      </c>
      <c r="J137" s="320" t="str">
        <f>IF(F137="","",G137-F137+1)</f>
        <v/>
      </c>
      <c r="K137" s="321" t="str">
        <f>IF(F137="","",I137-H137+1)</f>
        <v/>
      </c>
      <c r="L137" s="311">
        <v>250000</v>
      </c>
      <c r="M137" s="216" t="str">
        <f>IF(F137="","",L137*K137/J137)</f>
        <v/>
      </c>
      <c r="N137" s="1122">
        <v>22</v>
      </c>
    </row>
    <row r="138" spans="1:14" ht="18" customHeight="1">
      <c r="A138" s="1089"/>
      <c r="B138" s="1086"/>
      <c r="C138" s="1095"/>
      <c r="D138" s="1126"/>
      <c r="E138" s="1126"/>
      <c r="F138" s="307"/>
      <c r="G138" s="307"/>
      <c r="H138" s="623">
        <f>IF(F138&lt;=$I$6,$I$6,F138)</f>
        <v>44878</v>
      </c>
      <c r="I138" s="623">
        <f>IF(G138&lt;=$I$7,G138,$I$7)</f>
        <v>0</v>
      </c>
      <c r="J138" s="320" t="str">
        <f>IF(F138="","",G138-F138+1)</f>
        <v/>
      </c>
      <c r="K138" s="321" t="str">
        <f>IF(F138="","",I138-H138+1)</f>
        <v/>
      </c>
      <c r="L138" s="311">
        <v>222000</v>
      </c>
      <c r="M138" s="216" t="str">
        <f>IF(F138="","",L138*K138/J138)</f>
        <v/>
      </c>
      <c r="N138" s="1127"/>
    </row>
    <row r="139" spans="1:14" ht="18" customHeight="1">
      <c r="A139" s="1089"/>
      <c r="B139" s="1086"/>
      <c r="C139" s="1095"/>
      <c r="D139" s="1125"/>
      <c r="E139" s="1125"/>
      <c r="F139" s="1099"/>
      <c r="G139" s="1100"/>
      <c r="H139" s="1100"/>
      <c r="I139" s="1100"/>
      <c r="J139" s="1100"/>
      <c r="K139" s="1101"/>
      <c r="L139" s="311"/>
      <c r="M139" s="216"/>
      <c r="N139" s="1123"/>
    </row>
    <row r="140" spans="1:14" ht="18" customHeight="1">
      <c r="A140" s="1089"/>
      <c r="B140" s="1086"/>
      <c r="C140" s="1095"/>
      <c r="D140" s="1124"/>
      <c r="E140" s="1124"/>
      <c r="F140" s="307"/>
      <c r="G140" s="307"/>
      <c r="H140" s="308">
        <f>IF(F140&lt;=$I$6,$I$6,F140)</f>
        <v>44878</v>
      </c>
      <c r="I140" s="308">
        <f>IF(G140&lt;=$I$7,G140,$I$7)</f>
        <v>0</v>
      </c>
      <c r="J140" s="320" t="str">
        <f>IF(F140="","",G140-F140+1)</f>
        <v/>
      </c>
      <c r="K140" s="321" t="str">
        <f>IF(F140="","",I140-H140+1)</f>
        <v/>
      </c>
      <c r="L140" s="311">
        <v>66000</v>
      </c>
      <c r="M140" s="216" t="str">
        <f>IF(F140="","",L140*K140/J140)</f>
        <v/>
      </c>
      <c r="N140" s="1122">
        <v>35</v>
      </c>
    </row>
    <row r="141" spans="1:14" ht="18" customHeight="1">
      <c r="A141" s="1089"/>
      <c r="B141" s="1086"/>
      <c r="C141" s="1095"/>
      <c r="D141" s="1126"/>
      <c r="E141" s="1126"/>
      <c r="F141" s="307"/>
      <c r="G141" s="307"/>
      <c r="H141" s="603">
        <f>IF(F141&lt;=$I$6,$I$6,F141)</f>
        <v>44878</v>
      </c>
      <c r="I141" s="603">
        <f>IF(G141&lt;=$I$7,G141,$I$7)</f>
        <v>0</v>
      </c>
      <c r="J141" s="320" t="str">
        <f>IF(F141="","",G141-F141+1)</f>
        <v/>
      </c>
      <c r="K141" s="321" t="str">
        <f>IF(F141="","",I141-H141+1)</f>
        <v/>
      </c>
      <c r="L141" s="311">
        <v>150000</v>
      </c>
      <c r="M141" s="216" t="str">
        <f>IF(F141="","",L141*K141/J141)</f>
        <v/>
      </c>
      <c r="N141" s="1127"/>
    </row>
    <row r="142" spans="1:14" ht="18" customHeight="1">
      <c r="A142" s="1089"/>
      <c r="B142" s="1086"/>
      <c r="C142" s="1095"/>
      <c r="D142" s="1126"/>
      <c r="E142" s="1126"/>
      <c r="F142" s="307"/>
      <c r="G142" s="307"/>
      <c r="H142" s="623">
        <f>IF(F142&lt;=$I$6,$I$6,F142)</f>
        <v>44878</v>
      </c>
      <c r="I142" s="623">
        <f>IF(G142&lt;=$I$7,G142,$I$7)</f>
        <v>0</v>
      </c>
      <c r="J142" s="320" t="str">
        <f>IF(F142="","",G142-F142+1)</f>
        <v/>
      </c>
      <c r="K142" s="321" t="str">
        <f>IF(F142="","",I142-H142+1)</f>
        <v/>
      </c>
      <c r="L142" s="311">
        <v>196000</v>
      </c>
      <c r="M142" s="216" t="str">
        <f>IF(F142="","",L142*K142/J142)</f>
        <v/>
      </c>
      <c r="N142" s="1127"/>
    </row>
    <row r="143" spans="1:14" ht="18" customHeight="1">
      <c r="A143" s="1089"/>
      <c r="B143" s="1086"/>
      <c r="C143" s="1095"/>
      <c r="D143" s="1126"/>
      <c r="E143" s="1126"/>
      <c r="F143" s="307"/>
      <c r="G143" s="307"/>
      <c r="H143" s="623">
        <f>IF(F143&lt;=$I$6,$I$6,F143)</f>
        <v>44878</v>
      </c>
      <c r="I143" s="623">
        <f>IF(G143&lt;=$I$7,G143,$I$7)</f>
        <v>0</v>
      </c>
      <c r="J143" s="320" t="str">
        <f>IF(F143="","",G143-F143+1)</f>
        <v/>
      </c>
      <c r="K143" s="321" t="str">
        <f>IF(F143="","",I143-H143+1)</f>
        <v/>
      </c>
      <c r="L143" s="311">
        <v>8000</v>
      </c>
      <c r="M143" s="216" t="str">
        <f>IF(F143="","",L143*K143/J143)</f>
        <v/>
      </c>
      <c r="N143" s="1127"/>
    </row>
    <row r="144" spans="1:14" ht="18" customHeight="1">
      <c r="A144" s="1089"/>
      <c r="B144" s="1086"/>
      <c r="C144" s="1095"/>
      <c r="D144" s="1126"/>
      <c r="E144" s="1126"/>
      <c r="F144" s="307"/>
      <c r="G144" s="307"/>
      <c r="H144" s="603">
        <f>IF(F144&lt;=$I$6,$I$6,F144)</f>
        <v>44878</v>
      </c>
      <c r="I144" s="603">
        <f>IF(G144&lt;=$I$7,G144,$I$7)</f>
        <v>0</v>
      </c>
      <c r="J144" s="320" t="str">
        <f>IF(F144="","",G144-F144+1)</f>
        <v/>
      </c>
      <c r="K144" s="321" t="str">
        <f>IF(F144="","",I144-H144+1)</f>
        <v/>
      </c>
      <c r="L144" s="311">
        <v>79000</v>
      </c>
      <c r="M144" s="216" t="str">
        <f>IF(F144="","",L144*K144/J144)</f>
        <v/>
      </c>
      <c r="N144" s="1127"/>
    </row>
    <row r="145" spans="1:20" ht="18" customHeight="1">
      <c r="A145" s="1089"/>
      <c r="B145" s="1086"/>
      <c r="C145" s="1095"/>
      <c r="D145" s="1125"/>
      <c r="E145" s="1125"/>
      <c r="F145" s="1099"/>
      <c r="G145" s="1100"/>
      <c r="H145" s="1100"/>
      <c r="I145" s="1100"/>
      <c r="J145" s="1100"/>
      <c r="K145" s="1101"/>
      <c r="L145" s="311"/>
      <c r="M145" s="216"/>
      <c r="N145" s="1123"/>
    </row>
    <row r="146" spans="1:20" ht="18" customHeight="1">
      <c r="A146" s="1089"/>
      <c r="B146" s="1086"/>
      <c r="C146" s="1095"/>
      <c r="D146" s="1124"/>
      <c r="E146" s="1124"/>
      <c r="F146" s="307"/>
      <c r="G146" s="307"/>
      <c r="H146" s="308">
        <f>IF(F146&lt;=$I$6,$I$6,F146)</f>
        <v>44878</v>
      </c>
      <c r="I146" s="308">
        <f>IF(G146&lt;=$I$7,G146,$I$7)</f>
        <v>0</v>
      </c>
      <c r="J146" s="320" t="str">
        <f>IF(F146="","",G146-F146+1)</f>
        <v/>
      </c>
      <c r="K146" s="321" t="str">
        <f>IF(F146="","",I146-H146+1)</f>
        <v/>
      </c>
      <c r="L146" s="311">
        <v>766000</v>
      </c>
      <c r="M146" s="216" t="str">
        <f>IF(F146="","",L146*K146/J146)</f>
        <v/>
      </c>
      <c r="N146" s="1122">
        <v>39</v>
      </c>
      <c r="P146" s="156"/>
      <c r="Q146" s="156"/>
      <c r="R146" s="156"/>
      <c r="S146" s="156"/>
      <c r="T146" s="156"/>
    </row>
    <row r="147" spans="1:20" ht="18" customHeight="1">
      <c r="A147" s="1089"/>
      <c r="B147" s="1086"/>
      <c r="C147" s="1095"/>
      <c r="D147" s="1126"/>
      <c r="E147" s="1126"/>
      <c r="F147" s="307"/>
      <c r="G147" s="307"/>
      <c r="H147" s="623">
        <f>IF(F147&lt;=$I$6,$I$6,F147)</f>
        <v>44878</v>
      </c>
      <c r="I147" s="623">
        <f>IF(G147&lt;=$I$7,G147,$I$7)</f>
        <v>0</v>
      </c>
      <c r="J147" s="320" t="str">
        <f>IF(F147="","",G147-F147+1)</f>
        <v/>
      </c>
      <c r="K147" s="321" t="str">
        <f>IF(F147="","",I147-H147+1)</f>
        <v/>
      </c>
      <c r="L147" s="311">
        <v>879000</v>
      </c>
      <c r="M147" s="216" t="str">
        <f>IF(F147="","",L147*K147/J147)</f>
        <v/>
      </c>
      <c r="N147" s="1127"/>
      <c r="P147" s="156"/>
      <c r="Q147" s="156"/>
      <c r="R147" s="156"/>
      <c r="S147" s="156"/>
      <c r="T147" s="156"/>
    </row>
    <row r="148" spans="1:20" ht="18" customHeight="1">
      <c r="A148" s="1089"/>
      <c r="B148" s="1086"/>
      <c r="C148" s="1095"/>
      <c r="D148" s="1126"/>
      <c r="E148" s="1126"/>
      <c r="F148" s="307"/>
      <c r="G148" s="307"/>
      <c r="H148" s="603">
        <f>IF(F148&lt;=$I$6,$I$6,F148)</f>
        <v>44878</v>
      </c>
      <c r="I148" s="603">
        <f>IF(G148&lt;=$I$7,G148,$I$7)</f>
        <v>0</v>
      </c>
      <c r="J148" s="320" t="str">
        <f>IF(F148="","",G148-F148+1)</f>
        <v/>
      </c>
      <c r="K148" s="321" t="str">
        <f>IF(F148="","",I148-H148+1)</f>
        <v/>
      </c>
      <c r="L148" s="311">
        <v>877000</v>
      </c>
      <c r="M148" s="216" t="str">
        <f>IF(F148="","",L148*K148/J148)</f>
        <v/>
      </c>
      <c r="N148" s="1127"/>
      <c r="P148" s="156"/>
      <c r="Q148" s="156"/>
      <c r="R148" s="156"/>
      <c r="S148" s="156"/>
      <c r="T148" s="156"/>
    </row>
    <row r="149" spans="1:20" ht="18" customHeight="1">
      <c r="A149" s="1089"/>
      <c r="B149" s="1086"/>
      <c r="C149" s="1095"/>
      <c r="D149" s="1125"/>
      <c r="E149" s="1125"/>
      <c r="F149" s="1099"/>
      <c r="G149" s="1100"/>
      <c r="H149" s="1100"/>
      <c r="I149" s="1100"/>
      <c r="J149" s="1100"/>
      <c r="K149" s="1101"/>
      <c r="L149" s="311"/>
      <c r="M149" s="216"/>
      <c r="N149" s="1123"/>
      <c r="P149" s="156"/>
      <c r="Q149" s="156"/>
      <c r="R149" s="156"/>
      <c r="S149" s="156"/>
      <c r="T149" s="156"/>
    </row>
    <row r="150" spans="1:20" ht="18" customHeight="1">
      <c r="A150" s="1089"/>
      <c r="B150" s="1086"/>
      <c r="C150" s="1095"/>
      <c r="D150" s="1124"/>
      <c r="E150" s="1124"/>
      <c r="F150" s="307"/>
      <c r="G150" s="307"/>
      <c r="H150" s="308">
        <f>IF(F150&lt;=$I$6,$I$6,F150)</f>
        <v>44878</v>
      </c>
      <c r="I150" s="308">
        <f>IF(G150&lt;=$I$7,G150,$I$7)</f>
        <v>0</v>
      </c>
      <c r="J150" s="320" t="str">
        <f>IF(F150="","",G150-F150+1)</f>
        <v/>
      </c>
      <c r="K150" s="321" t="str">
        <f>IF(F150="","",I150-H150+1)</f>
        <v/>
      </c>
      <c r="L150" s="311">
        <v>35000</v>
      </c>
      <c r="M150" s="216" t="str">
        <f>IF(F150="","",L150*K150/J150)</f>
        <v/>
      </c>
      <c r="N150" s="1122">
        <v>43</v>
      </c>
      <c r="P150" s="156"/>
      <c r="Q150" s="156"/>
      <c r="R150" s="156"/>
      <c r="S150" s="156"/>
      <c r="T150" s="156"/>
    </row>
    <row r="151" spans="1:20" ht="18" customHeight="1">
      <c r="A151" s="1089"/>
      <c r="B151" s="1086"/>
      <c r="C151" s="1095"/>
      <c r="D151" s="1126"/>
      <c r="E151" s="1126"/>
      <c r="F151" s="307"/>
      <c r="G151" s="307"/>
      <c r="H151" s="603">
        <f>IF(F151&lt;=$I$6,$I$6,F151)</f>
        <v>44878</v>
      </c>
      <c r="I151" s="603">
        <f>IF(G151&lt;=$I$7,G151,$I$7)</f>
        <v>0</v>
      </c>
      <c r="J151" s="320" t="str">
        <f>IF(F151="","",G151-F151+1)</f>
        <v/>
      </c>
      <c r="K151" s="321" t="str">
        <f>IF(F151="","",I151-H151+1)</f>
        <v/>
      </c>
      <c r="L151" s="311">
        <v>95000</v>
      </c>
      <c r="M151" s="216" t="str">
        <f>IF(F151="","",L151*K151/J151)</f>
        <v/>
      </c>
      <c r="N151" s="1127"/>
      <c r="P151" s="156"/>
      <c r="Q151" s="156"/>
      <c r="R151" s="156"/>
      <c r="S151" s="156"/>
      <c r="T151" s="156"/>
    </row>
    <row r="152" spans="1:20" ht="18" customHeight="1">
      <c r="A152" s="1089"/>
      <c r="B152" s="1086"/>
      <c r="C152" s="1095"/>
      <c r="D152" s="1126"/>
      <c r="E152" s="1126"/>
      <c r="F152" s="307"/>
      <c r="G152" s="307"/>
      <c r="H152" s="603">
        <f>IF(F152&lt;=$I$6,$I$6,F152)</f>
        <v>44878</v>
      </c>
      <c r="I152" s="603">
        <f>IF(G152&lt;=$I$7,G152,$I$7)</f>
        <v>0</v>
      </c>
      <c r="J152" s="320" t="str">
        <f>IF(F152="","",G152-F152+1)</f>
        <v/>
      </c>
      <c r="K152" s="321" t="str">
        <f>IF(F152="","",I152-H152+1)</f>
        <v/>
      </c>
      <c r="L152" s="311">
        <v>79000</v>
      </c>
      <c r="M152" s="216" t="str">
        <f>IF(F152="","",L152*K152/J152)</f>
        <v/>
      </c>
      <c r="N152" s="1127"/>
      <c r="P152" s="156"/>
      <c r="Q152" s="156"/>
      <c r="R152" s="156"/>
      <c r="S152" s="156"/>
      <c r="T152" s="156"/>
    </row>
    <row r="153" spans="1:20" ht="18" customHeight="1">
      <c r="A153" s="1089"/>
      <c r="B153" s="1086"/>
      <c r="C153" s="1095"/>
      <c r="D153" s="1125"/>
      <c r="E153" s="1125"/>
      <c r="F153" s="1099"/>
      <c r="G153" s="1100"/>
      <c r="H153" s="1100"/>
      <c r="I153" s="1100"/>
      <c r="J153" s="1100"/>
      <c r="K153" s="1101"/>
      <c r="L153" s="311"/>
      <c r="M153" s="216"/>
      <c r="N153" s="1123"/>
      <c r="P153" s="156"/>
      <c r="Q153" s="156"/>
      <c r="R153" s="156"/>
      <c r="S153" s="156"/>
      <c r="T153" s="156"/>
    </row>
    <row r="154" spans="1:20" ht="18" customHeight="1">
      <c r="A154" s="1089"/>
      <c r="B154" s="1086"/>
      <c r="C154" s="1095"/>
      <c r="D154" s="1124"/>
      <c r="E154" s="1124"/>
      <c r="F154" s="307"/>
      <c r="G154" s="307"/>
      <c r="H154" s="308">
        <f>IF(F154&lt;=$I$6,$I$6,F154)</f>
        <v>44878</v>
      </c>
      <c r="I154" s="308">
        <f>IF(G154&lt;=$I$7,G154,$I$7)</f>
        <v>0</v>
      </c>
      <c r="J154" s="320" t="str">
        <f>IF(F154="","",G154-F154+1)</f>
        <v/>
      </c>
      <c r="K154" s="321" t="str">
        <f>IF(F154="","",I154-H154+1)</f>
        <v/>
      </c>
      <c r="L154" s="311">
        <v>120000</v>
      </c>
      <c r="M154" s="216" t="str">
        <f>IF(F154="","",L154*K154/J154)</f>
        <v/>
      </c>
      <c r="N154" s="1122">
        <v>58</v>
      </c>
      <c r="P154" s="156"/>
      <c r="Q154" s="156"/>
      <c r="R154" s="156"/>
      <c r="S154" s="156"/>
      <c r="T154" s="156"/>
    </row>
    <row r="155" spans="1:20" ht="18" customHeight="1">
      <c r="A155" s="1089"/>
      <c r="B155" s="1086"/>
      <c r="C155" s="1095"/>
      <c r="D155" s="1126"/>
      <c r="E155" s="1126"/>
      <c r="F155" s="307"/>
      <c r="G155" s="307"/>
      <c r="H155" s="603">
        <f>IF(F155&lt;=$I$6,$I$6,F155)</f>
        <v>44878</v>
      </c>
      <c r="I155" s="603">
        <f>IF(G155&lt;=$I$7,G155,$I$7)</f>
        <v>0</v>
      </c>
      <c r="J155" s="320" t="str">
        <f>IF(F155="","",G155-F155+1)</f>
        <v/>
      </c>
      <c r="K155" s="321" t="str">
        <f>IF(F155="","",I155-H155+1)</f>
        <v/>
      </c>
      <c r="L155" s="311">
        <v>91000</v>
      </c>
      <c r="M155" s="216" t="str">
        <f>IF(F155="","",L155*K155/J155)</f>
        <v/>
      </c>
      <c r="N155" s="1127"/>
      <c r="P155" s="156"/>
      <c r="Q155" s="156"/>
      <c r="R155" s="156"/>
      <c r="S155" s="156"/>
      <c r="T155" s="156"/>
    </row>
    <row r="156" spans="1:20" ht="18" customHeight="1">
      <c r="A156" s="1089"/>
      <c r="B156" s="1086"/>
      <c r="C156" s="1095"/>
      <c r="D156" s="1126"/>
      <c r="E156" s="1126"/>
      <c r="F156" s="307"/>
      <c r="G156" s="307"/>
      <c r="H156" s="603">
        <f>IF(F156&lt;=$I$6,$I$6,F156)</f>
        <v>44878</v>
      </c>
      <c r="I156" s="603">
        <f>IF(G156&lt;=$I$7,G156,$I$7)</f>
        <v>0</v>
      </c>
      <c r="J156" s="320" t="str">
        <f>IF(F156="","",G156-F156+1)</f>
        <v/>
      </c>
      <c r="K156" s="321" t="str">
        <f>IF(F156="","",I156-H156+1)</f>
        <v/>
      </c>
      <c r="L156" s="311">
        <v>80000</v>
      </c>
      <c r="M156" s="216" t="str">
        <f>IF(F156="","",L156*K156/J156)</f>
        <v/>
      </c>
      <c r="N156" s="1127"/>
      <c r="P156" s="156"/>
      <c r="Q156" s="156"/>
      <c r="R156" s="156"/>
      <c r="S156" s="156"/>
      <c r="T156" s="156"/>
    </row>
    <row r="157" spans="1:20" ht="18" customHeight="1">
      <c r="A157" s="1089"/>
      <c r="B157" s="1086"/>
      <c r="C157" s="1095"/>
      <c r="D157" s="1126"/>
      <c r="E157" s="1126"/>
      <c r="F157" s="307"/>
      <c r="G157" s="307"/>
      <c r="H157" s="603">
        <f>IF(F157&lt;=$I$6,$I$6,F157)</f>
        <v>44878</v>
      </c>
      <c r="I157" s="603">
        <f>IF(G157&lt;=$I$7,G157,$I$7)</f>
        <v>0</v>
      </c>
      <c r="J157" s="320" t="str">
        <f>IF(F157="","",G157-F157+1)</f>
        <v/>
      </c>
      <c r="K157" s="321" t="str">
        <f>IF(F157="","",I157-H157+1)</f>
        <v/>
      </c>
      <c r="L157" s="311">
        <v>103000</v>
      </c>
      <c r="M157" s="216" t="str">
        <f>IF(F157="","",L157*K157/J157)</f>
        <v/>
      </c>
      <c r="N157" s="1127"/>
      <c r="P157" s="156"/>
      <c r="Q157" s="156"/>
      <c r="R157" s="156"/>
      <c r="S157" s="156"/>
      <c r="T157" s="156"/>
    </row>
    <row r="158" spans="1:20" ht="18" customHeight="1">
      <c r="A158" s="1089"/>
      <c r="B158" s="1086"/>
      <c r="C158" s="1095"/>
      <c r="D158" s="1125"/>
      <c r="E158" s="1125"/>
      <c r="F158" s="1099"/>
      <c r="G158" s="1100"/>
      <c r="H158" s="1100"/>
      <c r="I158" s="1100"/>
      <c r="J158" s="1100"/>
      <c r="K158" s="1101"/>
      <c r="L158" s="311"/>
      <c r="M158" s="216"/>
      <c r="N158" s="1123"/>
      <c r="P158" s="156"/>
      <c r="Q158" s="156"/>
      <c r="R158" s="156"/>
      <c r="S158" s="156"/>
      <c r="T158" s="156"/>
    </row>
    <row r="159" spans="1:20" ht="15" customHeight="1">
      <c r="A159" s="1090"/>
      <c r="B159" s="1087"/>
      <c r="C159" s="1104" t="s">
        <v>158</v>
      </c>
      <c r="D159" s="1104"/>
      <c r="E159" s="1104"/>
      <c r="F159" s="1104"/>
      <c r="G159" s="1104"/>
      <c r="H159" s="1104"/>
      <c r="I159" s="1104"/>
      <c r="J159" s="1104"/>
      <c r="K159" s="1104"/>
      <c r="L159" s="1104"/>
      <c r="M159" s="326">
        <f>SUM(M134:M158)*0.5</f>
        <v>0</v>
      </c>
      <c r="N159" s="316"/>
    </row>
    <row r="160" spans="1:20" ht="15" customHeight="1">
      <c r="A160" s="327"/>
      <c r="B160" s="328"/>
      <c r="C160" s="329"/>
      <c r="D160" s="329"/>
      <c r="E160" s="329"/>
      <c r="F160" s="329"/>
      <c r="G160" s="329"/>
      <c r="H160" s="329"/>
      <c r="I160" s="329"/>
      <c r="J160" s="329"/>
      <c r="K160" s="330"/>
      <c r="L160" s="329"/>
      <c r="M160" s="331"/>
    </row>
    <row r="161" spans="1:22" ht="18" customHeight="1"/>
    <row r="162" spans="1:22" ht="26.25" customHeight="1">
      <c r="A162" s="1120" t="s">
        <v>180</v>
      </c>
      <c r="B162" s="1120"/>
      <c r="C162" s="1120"/>
      <c r="E162" s="1121" t="str">
        <f>A8</f>
        <v>C</v>
      </c>
      <c r="F162" s="1121"/>
      <c r="G162" s="1121"/>
      <c r="H162" s="1121"/>
      <c r="I162" s="1121"/>
      <c r="J162" s="1121"/>
      <c r="K162" s="1121"/>
    </row>
    <row r="163" spans="1:22" ht="15" customHeight="1">
      <c r="A163" s="1091" t="str">
        <f>A14</f>
        <v>건설사업관리
용역업자회사명</v>
      </c>
      <c r="B163" s="1095" t="s">
        <v>160</v>
      </c>
      <c r="C163" s="1095"/>
      <c r="D163" s="1095" t="s">
        <v>161</v>
      </c>
      <c r="E163" s="1095" t="s">
        <v>162</v>
      </c>
      <c r="F163" s="1113" t="s">
        <v>163</v>
      </c>
      <c r="G163" s="1113"/>
      <c r="H163" s="1113" t="s">
        <v>164</v>
      </c>
      <c r="I163" s="1113"/>
      <c r="J163" s="1114" t="s">
        <v>165</v>
      </c>
      <c r="K163" s="1116" t="s">
        <v>166</v>
      </c>
      <c r="L163" s="1118" t="s">
        <v>167</v>
      </c>
      <c r="M163" s="1106" t="s">
        <v>168</v>
      </c>
      <c r="N163" s="1108" t="s">
        <v>169</v>
      </c>
    </row>
    <row r="164" spans="1:22" ht="15" customHeight="1">
      <c r="A164" s="1093"/>
      <c r="B164" s="1095"/>
      <c r="C164" s="1095"/>
      <c r="D164" s="1095"/>
      <c r="E164" s="1095"/>
      <c r="F164" s="304" t="s">
        <v>170</v>
      </c>
      <c r="G164" s="304" t="s">
        <v>171</v>
      </c>
      <c r="H164" s="304" t="s">
        <v>172</v>
      </c>
      <c r="I164" s="304" t="s">
        <v>173</v>
      </c>
      <c r="J164" s="1115"/>
      <c r="K164" s="1117"/>
      <c r="L164" s="1119"/>
      <c r="M164" s="1107"/>
      <c r="N164" s="1109"/>
    </row>
    <row r="165" spans="1:22" ht="44.25" customHeight="1">
      <c r="A165" s="1110" t="str">
        <f>A8</f>
        <v>C</v>
      </c>
      <c r="B165" s="1085" t="s">
        <v>174</v>
      </c>
      <c r="C165" s="1111" t="s">
        <v>514</v>
      </c>
      <c r="D165" s="594"/>
      <c r="E165" s="594"/>
      <c r="F165" s="307"/>
      <c r="G165" s="307"/>
      <c r="H165" s="308">
        <f t="shared" ref="H165:H167" si="100">IF(F165&lt;=$I$6,$I$6,F165)</f>
        <v>44878</v>
      </c>
      <c r="I165" s="308">
        <f t="shared" ref="I165:I167" si="101">IF(G165&lt;=$I$7,G165,$I$7)</f>
        <v>0</v>
      </c>
      <c r="J165" s="320" t="str">
        <f t="shared" ref="J165:J167" si="102">IF(F165="","",G165-F165+1)</f>
        <v/>
      </c>
      <c r="K165" s="321" t="str">
        <f t="shared" ref="K165:K167" si="103">IF(F165="","",I165-H165+1)</f>
        <v/>
      </c>
      <c r="L165" s="311">
        <v>1781000</v>
      </c>
      <c r="M165" s="216" t="str">
        <f t="shared" ref="M165:M167" si="104">IF(F165="","",L165*K165/J165)</f>
        <v/>
      </c>
      <c r="N165" s="304">
        <v>39</v>
      </c>
      <c r="P165" s="305"/>
      <c r="Q165" s="313"/>
      <c r="R165" s="305"/>
      <c r="S165" s="305"/>
      <c r="T165" s="313"/>
      <c r="U165" s="314"/>
      <c r="V165" s="314"/>
    </row>
    <row r="166" spans="1:22" ht="44.25" customHeight="1">
      <c r="A166" s="1110"/>
      <c r="B166" s="1086"/>
      <c r="C166" s="1112"/>
      <c r="D166" s="594"/>
      <c r="E166" s="594"/>
      <c r="F166" s="307"/>
      <c r="G166" s="307"/>
      <c r="H166" s="308">
        <f t="shared" si="100"/>
        <v>44878</v>
      </c>
      <c r="I166" s="308">
        <f t="shared" si="101"/>
        <v>0</v>
      </c>
      <c r="J166" s="320" t="str">
        <f t="shared" si="102"/>
        <v/>
      </c>
      <c r="K166" s="321" t="str">
        <f t="shared" si="103"/>
        <v/>
      </c>
      <c r="L166" s="311">
        <v>2153000</v>
      </c>
      <c r="M166" s="216" t="str">
        <f t="shared" si="104"/>
        <v/>
      </c>
      <c r="N166" s="304">
        <v>39</v>
      </c>
      <c r="P166" s="305"/>
      <c r="Q166" s="313"/>
      <c r="R166" s="305"/>
      <c r="S166" s="305"/>
      <c r="T166" s="313"/>
      <c r="U166" s="314"/>
      <c r="V166" s="314"/>
    </row>
    <row r="167" spans="1:22" ht="44.25" customHeight="1">
      <c r="A167" s="1110"/>
      <c r="B167" s="1086"/>
      <c r="C167" s="1112"/>
      <c r="D167" s="594"/>
      <c r="E167" s="594"/>
      <c r="F167" s="307"/>
      <c r="G167" s="307"/>
      <c r="H167" s="308">
        <f t="shared" si="100"/>
        <v>44878</v>
      </c>
      <c r="I167" s="308">
        <f t="shared" si="101"/>
        <v>0</v>
      </c>
      <c r="J167" s="320" t="str">
        <f t="shared" si="102"/>
        <v/>
      </c>
      <c r="K167" s="321" t="str">
        <f t="shared" si="103"/>
        <v/>
      </c>
      <c r="L167" s="311">
        <v>1123000</v>
      </c>
      <c r="M167" s="216" t="str">
        <f t="shared" si="104"/>
        <v/>
      </c>
      <c r="N167" s="304">
        <v>46</v>
      </c>
    </row>
    <row r="168" spans="1:22" ht="15" customHeight="1">
      <c r="A168" s="1110"/>
      <c r="B168" s="1086"/>
      <c r="C168" s="1098" t="s">
        <v>158</v>
      </c>
      <c r="D168" s="1098"/>
      <c r="E168" s="1098"/>
      <c r="F168" s="1098"/>
      <c r="G168" s="1098"/>
      <c r="H168" s="1098"/>
      <c r="I168" s="1098"/>
      <c r="J168" s="1098"/>
      <c r="K168" s="1098"/>
      <c r="L168" s="1098"/>
      <c r="M168" s="325">
        <f>SUM(M165:M167)</f>
        <v>0</v>
      </c>
      <c r="N168" s="316"/>
    </row>
    <row r="169" spans="1:22" ht="44.25" customHeight="1">
      <c r="A169" s="1110"/>
      <c r="B169" s="1086"/>
      <c r="C169" s="1105" t="s">
        <v>512</v>
      </c>
      <c r="D169" s="602"/>
      <c r="E169" s="602"/>
      <c r="F169" s="307"/>
      <c r="G169" s="307"/>
      <c r="H169" s="308">
        <f t="shared" ref="H169:H170" si="105">IF(F169&lt;=$I$6,$I$6,F169)</f>
        <v>44878</v>
      </c>
      <c r="I169" s="308">
        <f t="shared" ref="I169:I170" si="106">IF(G169&lt;=$I$7,G169,$I$7)</f>
        <v>0</v>
      </c>
      <c r="J169" s="320" t="str">
        <f t="shared" ref="J169:J170" si="107">IF(F169="","",G169-F169+1)</f>
        <v/>
      </c>
      <c r="K169" s="321" t="str">
        <f t="shared" ref="K169:K170" si="108">IF(F169="","",I169-H169+1)</f>
        <v/>
      </c>
      <c r="L169" s="311">
        <v>2128000</v>
      </c>
      <c r="M169" s="216" t="str">
        <f t="shared" ref="M169:M170" si="109">IF(F169="","",L169*K169/J169)</f>
        <v/>
      </c>
      <c r="N169" s="369">
        <v>42</v>
      </c>
      <c r="P169" s="305"/>
      <c r="Q169" s="313"/>
      <c r="R169" s="305"/>
      <c r="S169" s="305"/>
      <c r="T169" s="313"/>
      <c r="U169" s="314"/>
      <c r="V169" s="314"/>
    </row>
    <row r="170" spans="1:22" ht="44.25" customHeight="1">
      <c r="A170" s="1110"/>
      <c r="B170" s="1086"/>
      <c r="C170" s="1095"/>
      <c r="D170" s="602"/>
      <c r="E170" s="602"/>
      <c r="F170" s="307"/>
      <c r="G170" s="307"/>
      <c r="H170" s="308">
        <f t="shared" si="105"/>
        <v>44878</v>
      </c>
      <c r="I170" s="308">
        <f t="shared" si="106"/>
        <v>0</v>
      </c>
      <c r="J170" s="320" t="str">
        <f t="shared" si="107"/>
        <v/>
      </c>
      <c r="K170" s="321" t="str">
        <f t="shared" si="108"/>
        <v/>
      </c>
      <c r="L170" s="311">
        <v>933000</v>
      </c>
      <c r="M170" s="216" t="str">
        <f t="shared" si="109"/>
        <v/>
      </c>
      <c r="N170" s="369">
        <v>46</v>
      </c>
      <c r="P170" s="305"/>
      <c r="Q170" s="313"/>
      <c r="R170" s="305"/>
      <c r="S170" s="305"/>
      <c r="T170" s="313"/>
      <c r="U170" s="314"/>
      <c r="V170" s="314"/>
    </row>
    <row r="171" spans="1:22" ht="15" customHeight="1">
      <c r="A171" s="1110"/>
      <c r="B171" s="1087"/>
      <c r="C171" s="1104" t="s">
        <v>158</v>
      </c>
      <c r="D171" s="1104"/>
      <c r="E171" s="1104"/>
      <c r="F171" s="1104"/>
      <c r="G171" s="1104"/>
      <c r="H171" s="1104"/>
      <c r="I171" s="1104"/>
      <c r="J171" s="1104"/>
      <c r="K171" s="1104"/>
      <c r="L171" s="1104"/>
      <c r="M171" s="326">
        <f>SUM(M169:M170)*0.5</f>
        <v>0</v>
      </c>
      <c r="N171" s="316"/>
    </row>
    <row r="172" spans="1:22" ht="15" customHeight="1"/>
    <row r="173" spans="1:22" ht="15" customHeight="1">
      <c r="A173" s="1091" t="str">
        <f>A14</f>
        <v>건설사업관리
용역업자회사명</v>
      </c>
      <c r="B173" s="1095" t="s">
        <v>160</v>
      </c>
      <c r="C173" s="1095"/>
      <c r="D173" s="1095" t="s">
        <v>161</v>
      </c>
      <c r="E173" s="1095" t="s">
        <v>162</v>
      </c>
      <c r="F173" s="1113" t="s">
        <v>177</v>
      </c>
      <c r="G173" s="1113"/>
      <c r="H173" s="1113" t="s">
        <v>164</v>
      </c>
      <c r="I173" s="1113"/>
      <c r="J173" s="1114" t="s">
        <v>165</v>
      </c>
      <c r="K173" s="1116" t="s">
        <v>166</v>
      </c>
      <c r="L173" s="1118" t="s">
        <v>167</v>
      </c>
      <c r="M173" s="1106" t="s">
        <v>168</v>
      </c>
      <c r="N173" s="1108" t="s">
        <v>169</v>
      </c>
      <c r="P173" s="156"/>
      <c r="Q173" s="156"/>
      <c r="R173" s="156"/>
      <c r="S173" s="156"/>
      <c r="T173" s="156"/>
    </row>
    <row r="174" spans="1:22" ht="15" customHeight="1">
      <c r="A174" s="1093"/>
      <c r="B174" s="1095"/>
      <c r="C174" s="1095"/>
      <c r="D174" s="1095"/>
      <c r="E174" s="1095"/>
      <c r="F174" s="304" t="s">
        <v>170</v>
      </c>
      <c r="G174" s="304" t="s">
        <v>178</v>
      </c>
      <c r="H174" s="304" t="s">
        <v>172</v>
      </c>
      <c r="I174" s="304" t="s">
        <v>173</v>
      </c>
      <c r="J174" s="1115"/>
      <c r="K174" s="1117"/>
      <c r="L174" s="1119"/>
      <c r="M174" s="1107"/>
      <c r="N174" s="1109"/>
      <c r="P174" s="156"/>
      <c r="Q174" s="156"/>
      <c r="R174" s="156"/>
      <c r="S174" s="156"/>
      <c r="T174" s="156"/>
    </row>
    <row r="175" spans="1:22" ht="18" customHeight="1">
      <c r="A175" s="1110" t="str">
        <f>A8</f>
        <v>C</v>
      </c>
      <c r="B175" s="1085" t="s">
        <v>157</v>
      </c>
      <c r="C175" s="1111" t="s">
        <v>514</v>
      </c>
      <c r="D175" s="1096"/>
      <c r="E175" s="1096" t="s">
        <v>530</v>
      </c>
      <c r="F175" s="307"/>
      <c r="G175" s="307"/>
      <c r="H175" s="308">
        <f>IF(F175&lt;=$I$6,$I$6,F175)</f>
        <v>44878</v>
      </c>
      <c r="I175" s="308">
        <f>IF(G175&lt;=$I$7,G175,$I$7)</f>
        <v>0</v>
      </c>
      <c r="J175" s="320" t="str">
        <f>IF(F175="","",G175-F175+1)</f>
        <v/>
      </c>
      <c r="K175" s="321" t="str">
        <f>IF(F175="","",I175-H175+1)</f>
        <v/>
      </c>
      <c r="L175" s="311"/>
      <c r="M175" s="216" t="str">
        <f>IF(F175="","",L175*K175/J175)</f>
        <v/>
      </c>
      <c r="N175" s="1102"/>
      <c r="P175" s="156"/>
      <c r="Q175" s="156"/>
      <c r="R175" s="156"/>
      <c r="S175" s="156"/>
      <c r="T175" s="156"/>
    </row>
    <row r="176" spans="1:22" ht="18" customHeight="1">
      <c r="A176" s="1110"/>
      <c r="B176" s="1086"/>
      <c r="C176" s="1112"/>
      <c r="D176" s="1097"/>
      <c r="E176" s="1097"/>
      <c r="F176" s="1099"/>
      <c r="G176" s="1100"/>
      <c r="H176" s="1100"/>
      <c r="I176" s="1100"/>
      <c r="J176" s="1100"/>
      <c r="K176" s="1101"/>
      <c r="L176" s="311"/>
      <c r="M176" s="216"/>
      <c r="N176" s="1103"/>
      <c r="P176" s="156"/>
      <c r="Q176" s="156"/>
      <c r="R176" s="156"/>
      <c r="S176" s="156"/>
      <c r="T176" s="156"/>
    </row>
    <row r="177" spans="1:20" ht="15" customHeight="1">
      <c r="A177" s="1110"/>
      <c r="B177" s="1086"/>
      <c r="C177" s="1098" t="s">
        <v>158</v>
      </c>
      <c r="D177" s="1098"/>
      <c r="E177" s="1098"/>
      <c r="F177" s="1098"/>
      <c r="G177" s="1098"/>
      <c r="H177" s="1098"/>
      <c r="I177" s="1098"/>
      <c r="J177" s="1098"/>
      <c r="K177" s="1098"/>
      <c r="L177" s="1098"/>
      <c r="M177" s="325">
        <f>SUM(M175:M176)</f>
        <v>0</v>
      </c>
      <c r="N177" s="316"/>
      <c r="P177" s="156"/>
      <c r="Q177" s="156"/>
      <c r="R177" s="156"/>
      <c r="S177" s="156"/>
      <c r="T177" s="156"/>
    </row>
    <row r="178" spans="1:20" ht="18" customHeight="1">
      <c r="A178" s="1110"/>
      <c r="B178" s="1086"/>
      <c r="C178" s="1105" t="s">
        <v>513</v>
      </c>
      <c r="D178" s="1124"/>
      <c r="E178" s="1124"/>
      <c r="F178" s="307"/>
      <c r="G178" s="307"/>
      <c r="H178" s="308">
        <f>IF(F178&lt;=$I$6,$I$6,F178)</f>
        <v>44878</v>
      </c>
      <c r="I178" s="308">
        <f>IF(G178&lt;=$I$7,G178,$I$7)</f>
        <v>0</v>
      </c>
      <c r="J178" s="320" t="str">
        <f>IF(F178="","",G178-F178+1)</f>
        <v/>
      </c>
      <c r="K178" s="321" t="str">
        <f>IF(F178="","",I178-H178+1)</f>
        <v/>
      </c>
      <c r="L178" s="311">
        <v>18170000</v>
      </c>
      <c r="M178" s="216" t="str">
        <f>IF(F178="","",L178*K178/J178)</f>
        <v/>
      </c>
      <c r="N178" s="1122">
        <v>77</v>
      </c>
      <c r="P178" s="156"/>
      <c r="Q178" s="156"/>
      <c r="R178" s="156"/>
      <c r="S178" s="156"/>
      <c r="T178" s="156"/>
    </row>
    <row r="179" spans="1:20" ht="18" customHeight="1">
      <c r="A179" s="1110"/>
      <c r="B179" s="1086"/>
      <c r="C179" s="1095"/>
      <c r="D179" s="1125"/>
      <c r="E179" s="1125"/>
      <c r="F179" s="1099"/>
      <c r="G179" s="1100"/>
      <c r="H179" s="1100"/>
      <c r="I179" s="1100"/>
      <c r="J179" s="1100"/>
      <c r="K179" s="1101"/>
      <c r="L179" s="311"/>
      <c r="M179" s="216"/>
      <c r="N179" s="1123"/>
      <c r="P179" s="156"/>
      <c r="Q179" s="156"/>
      <c r="R179" s="156"/>
      <c r="S179" s="156"/>
      <c r="T179" s="156"/>
    </row>
    <row r="180" spans="1:20" ht="15" customHeight="1">
      <c r="A180" s="1110"/>
      <c r="B180" s="1087"/>
      <c r="C180" s="1104" t="s">
        <v>158</v>
      </c>
      <c r="D180" s="1104"/>
      <c r="E180" s="1104"/>
      <c r="F180" s="1104"/>
      <c r="G180" s="1104"/>
      <c r="H180" s="1104"/>
      <c r="I180" s="1104"/>
      <c r="J180" s="1104"/>
      <c r="K180" s="1104"/>
      <c r="L180" s="1104"/>
      <c r="M180" s="326">
        <f>SUM(M178:M179)*0.5</f>
        <v>0</v>
      </c>
      <c r="N180" s="316"/>
      <c r="P180" s="156"/>
      <c r="Q180" s="156"/>
      <c r="R180" s="156"/>
      <c r="S180" s="156"/>
      <c r="T180" s="156"/>
    </row>
    <row r="183" spans="1:20" ht="31.5">
      <c r="A183" s="1120" t="s">
        <v>181</v>
      </c>
      <c r="B183" s="1120"/>
      <c r="C183" s="1120"/>
      <c r="E183" s="1121">
        <f>A9</f>
        <v>0</v>
      </c>
      <c r="F183" s="1121"/>
      <c r="G183" s="1121"/>
      <c r="H183" s="1121"/>
      <c r="I183" s="1121"/>
      <c r="J183" s="1121"/>
      <c r="K183" s="1121"/>
      <c r="P183" s="156"/>
      <c r="Q183" s="156"/>
      <c r="R183" s="156"/>
      <c r="S183" s="156"/>
      <c r="T183" s="156"/>
    </row>
    <row r="184" spans="1:20" ht="17.25">
      <c r="A184" s="1091" t="str">
        <f>A14</f>
        <v>건설사업관리
용역업자회사명</v>
      </c>
      <c r="B184" s="1095" t="s">
        <v>160</v>
      </c>
      <c r="C184" s="1095"/>
      <c r="D184" s="1095" t="s">
        <v>161</v>
      </c>
      <c r="E184" s="1095" t="s">
        <v>162</v>
      </c>
      <c r="F184" s="1113" t="s">
        <v>163</v>
      </c>
      <c r="G184" s="1113"/>
      <c r="H184" s="1113" t="s">
        <v>164</v>
      </c>
      <c r="I184" s="1113"/>
      <c r="J184" s="1114" t="s">
        <v>165</v>
      </c>
      <c r="K184" s="1116" t="s">
        <v>166</v>
      </c>
      <c r="L184" s="1118" t="s">
        <v>167</v>
      </c>
      <c r="M184" s="1106" t="s">
        <v>168</v>
      </c>
      <c r="N184" s="1108" t="s">
        <v>169</v>
      </c>
      <c r="P184" s="156"/>
      <c r="Q184" s="156"/>
      <c r="R184" s="156"/>
      <c r="S184" s="156"/>
      <c r="T184" s="156"/>
    </row>
    <row r="185" spans="1:20">
      <c r="A185" s="1093"/>
      <c r="B185" s="1095"/>
      <c r="C185" s="1095"/>
      <c r="D185" s="1095"/>
      <c r="E185" s="1095"/>
      <c r="F185" s="304" t="s">
        <v>170</v>
      </c>
      <c r="G185" s="304" t="s">
        <v>171</v>
      </c>
      <c r="H185" s="304" t="s">
        <v>172</v>
      </c>
      <c r="I185" s="304" t="s">
        <v>173</v>
      </c>
      <c r="J185" s="1115"/>
      <c r="K185" s="1117"/>
      <c r="L185" s="1119"/>
      <c r="M185" s="1107"/>
      <c r="N185" s="1109"/>
      <c r="P185" s="156"/>
      <c r="Q185" s="156"/>
      <c r="R185" s="156"/>
      <c r="S185" s="156"/>
      <c r="T185" s="156"/>
    </row>
    <row r="186" spans="1:20">
      <c r="A186" s="1110">
        <f>A9</f>
        <v>0</v>
      </c>
      <c r="B186" s="1085" t="s">
        <v>174</v>
      </c>
      <c r="C186" s="1111" t="s">
        <v>175</v>
      </c>
      <c r="D186" s="306"/>
      <c r="E186" s="306"/>
      <c r="F186" s="307"/>
      <c r="G186" s="307"/>
      <c r="H186" s="308">
        <f t="shared" ref="H186:H205" si="110">IF(F186&lt;=$I$6,$I$6,F186)</f>
        <v>44878</v>
      </c>
      <c r="I186" s="308">
        <f t="shared" ref="I186:I205" si="111">IF(G186&lt;=$I$7,G186,$I$7)</f>
        <v>0</v>
      </c>
      <c r="J186" s="320" t="str">
        <f t="shared" ref="J186:J205" si="112">IF(F186="","",G186-F186+1)</f>
        <v/>
      </c>
      <c r="K186" s="321" t="str">
        <f t="shared" ref="K186:K205" si="113">IF(F186="","",I186-H186+1)</f>
        <v/>
      </c>
      <c r="L186" s="311"/>
      <c r="M186" s="216" t="str">
        <f t="shared" ref="M186:M205" si="114">IF(F186="","",L186*K186/J186)</f>
        <v/>
      </c>
      <c r="N186" s="304"/>
      <c r="P186" s="156"/>
      <c r="Q186" s="156"/>
      <c r="R186" s="156"/>
      <c r="S186" s="156"/>
      <c r="T186" s="156"/>
    </row>
    <row r="187" spans="1:20">
      <c r="A187" s="1110"/>
      <c r="B187" s="1086"/>
      <c r="C187" s="1112"/>
      <c r="D187" s="306"/>
      <c r="E187" s="306"/>
      <c r="F187" s="307"/>
      <c r="G187" s="307"/>
      <c r="H187" s="308">
        <f t="shared" si="110"/>
        <v>44878</v>
      </c>
      <c r="I187" s="308">
        <f t="shared" si="111"/>
        <v>0</v>
      </c>
      <c r="J187" s="320" t="str">
        <f t="shared" si="112"/>
        <v/>
      </c>
      <c r="K187" s="321" t="str">
        <f t="shared" si="113"/>
        <v/>
      </c>
      <c r="L187" s="311"/>
      <c r="M187" s="216" t="str">
        <f t="shared" si="114"/>
        <v/>
      </c>
      <c r="N187" s="304"/>
      <c r="P187" s="156"/>
      <c r="Q187" s="156"/>
      <c r="R187" s="156"/>
      <c r="S187" s="156"/>
      <c r="T187" s="156"/>
    </row>
    <row r="188" spans="1:20">
      <c r="A188" s="1110"/>
      <c r="B188" s="1086"/>
      <c r="C188" s="1112"/>
      <c r="D188" s="306"/>
      <c r="E188" s="306"/>
      <c r="F188" s="307"/>
      <c r="G188" s="307"/>
      <c r="H188" s="308">
        <f t="shared" si="110"/>
        <v>44878</v>
      </c>
      <c r="I188" s="308">
        <f t="shared" si="111"/>
        <v>0</v>
      </c>
      <c r="J188" s="320" t="str">
        <f t="shared" si="112"/>
        <v/>
      </c>
      <c r="K188" s="321" t="str">
        <f t="shared" si="113"/>
        <v/>
      </c>
      <c r="L188" s="311"/>
      <c r="M188" s="216" t="str">
        <f t="shared" si="114"/>
        <v/>
      </c>
      <c r="N188" s="304"/>
      <c r="P188" s="156"/>
      <c r="Q188" s="156"/>
      <c r="R188" s="156"/>
      <c r="S188" s="156"/>
      <c r="T188" s="156"/>
    </row>
    <row r="189" spans="1:20">
      <c r="A189" s="1110"/>
      <c r="B189" s="1086"/>
      <c r="C189" s="1112"/>
      <c r="D189" s="306"/>
      <c r="E189" s="306"/>
      <c r="F189" s="307"/>
      <c r="G189" s="307"/>
      <c r="H189" s="308">
        <f t="shared" si="110"/>
        <v>44878</v>
      </c>
      <c r="I189" s="308">
        <f t="shared" si="111"/>
        <v>0</v>
      </c>
      <c r="J189" s="320" t="str">
        <f t="shared" si="112"/>
        <v/>
      </c>
      <c r="K189" s="321" t="str">
        <f t="shared" si="113"/>
        <v/>
      </c>
      <c r="L189" s="311"/>
      <c r="M189" s="216" t="str">
        <f t="shared" si="114"/>
        <v/>
      </c>
      <c r="N189" s="304"/>
      <c r="P189" s="156"/>
      <c r="Q189" s="156"/>
      <c r="R189" s="156"/>
      <c r="S189" s="156"/>
      <c r="T189" s="156"/>
    </row>
    <row r="190" spans="1:20">
      <c r="A190" s="1110"/>
      <c r="B190" s="1086"/>
      <c r="C190" s="1112"/>
      <c r="D190" s="306"/>
      <c r="E190" s="306"/>
      <c r="F190" s="307"/>
      <c r="G190" s="307"/>
      <c r="H190" s="308">
        <f t="shared" si="110"/>
        <v>44878</v>
      </c>
      <c r="I190" s="308">
        <f t="shared" si="111"/>
        <v>0</v>
      </c>
      <c r="J190" s="320" t="str">
        <f t="shared" si="112"/>
        <v/>
      </c>
      <c r="K190" s="321" t="str">
        <f t="shared" si="113"/>
        <v/>
      </c>
      <c r="L190" s="311"/>
      <c r="M190" s="216" t="str">
        <f t="shared" si="114"/>
        <v/>
      </c>
      <c r="N190" s="304"/>
      <c r="P190" s="156"/>
      <c r="Q190" s="156"/>
      <c r="R190" s="156"/>
      <c r="S190" s="156"/>
      <c r="T190" s="156"/>
    </row>
    <row r="191" spans="1:20">
      <c r="A191" s="1110"/>
      <c r="B191" s="1086"/>
      <c r="C191" s="1112"/>
      <c r="D191" s="306"/>
      <c r="E191" s="306"/>
      <c r="F191" s="307"/>
      <c r="G191" s="307"/>
      <c r="H191" s="308">
        <f t="shared" si="110"/>
        <v>44878</v>
      </c>
      <c r="I191" s="308">
        <f t="shared" si="111"/>
        <v>0</v>
      </c>
      <c r="J191" s="320" t="str">
        <f t="shared" si="112"/>
        <v/>
      </c>
      <c r="K191" s="321" t="str">
        <f t="shared" si="113"/>
        <v/>
      </c>
      <c r="L191" s="311"/>
      <c r="M191" s="216" t="str">
        <f t="shared" si="114"/>
        <v/>
      </c>
      <c r="N191" s="304"/>
      <c r="P191" s="156"/>
      <c r="Q191" s="156"/>
      <c r="R191" s="156"/>
      <c r="S191" s="156"/>
      <c r="T191" s="156"/>
    </row>
    <row r="192" spans="1:20">
      <c r="A192" s="1110"/>
      <c r="B192" s="1086"/>
      <c r="C192" s="1112"/>
      <c r="D192" s="306"/>
      <c r="E192" s="306"/>
      <c r="F192" s="307"/>
      <c r="G192" s="307"/>
      <c r="H192" s="308">
        <f t="shared" si="110"/>
        <v>44878</v>
      </c>
      <c r="I192" s="308">
        <f t="shared" si="111"/>
        <v>0</v>
      </c>
      <c r="J192" s="320" t="str">
        <f t="shared" si="112"/>
        <v/>
      </c>
      <c r="K192" s="321" t="str">
        <f t="shared" si="113"/>
        <v/>
      </c>
      <c r="L192" s="311"/>
      <c r="M192" s="216" t="str">
        <f t="shared" si="114"/>
        <v/>
      </c>
      <c r="N192" s="304"/>
      <c r="P192" s="156"/>
      <c r="Q192" s="156"/>
      <c r="R192" s="156"/>
      <c r="S192" s="156"/>
      <c r="T192" s="156"/>
    </row>
    <row r="193" spans="1:20">
      <c r="A193" s="1110"/>
      <c r="B193" s="1086"/>
      <c r="C193" s="1112"/>
      <c r="D193" s="306"/>
      <c r="E193" s="306"/>
      <c r="F193" s="307"/>
      <c r="G193" s="307"/>
      <c r="H193" s="308">
        <f t="shared" si="110"/>
        <v>44878</v>
      </c>
      <c r="I193" s="308">
        <f t="shared" si="111"/>
        <v>0</v>
      </c>
      <c r="J193" s="320" t="str">
        <f t="shared" si="112"/>
        <v/>
      </c>
      <c r="K193" s="321" t="str">
        <f t="shared" si="113"/>
        <v/>
      </c>
      <c r="L193" s="311"/>
      <c r="M193" s="216" t="str">
        <f t="shared" si="114"/>
        <v/>
      </c>
      <c r="N193" s="304"/>
      <c r="P193" s="156"/>
      <c r="Q193" s="156"/>
      <c r="R193" s="156"/>
      <c r="S193" s="156"/>
      <c r="T193" s="156"/>
    </row>
    <row r="194" spans="1:20">
      <c r="A194" s="1110"/>
      <c r="B194" s="1086"/>
      <c r="C194" s="1112"/>
      <c r="D194" s="306"/>
      <c r="E194" s="306"/>
      <c r="F194" s="307"/>
      <c r="G194" s="307"/>
      <c r="H194" s="308">
        <f t="shared" si="110"/>
        <v>44878</v>
      </c>
      <c r="I194" s="308">
        <f t="shared" si="111"/>
        <v>0</v>
      </c>
      <c r="J194" s="320" t="str">
        <f t="shared" si="112"/>
        <v/>
      </c>
      <c r="K194" s="321" t="str">
        <f t="shared" si="113"/>
        <v/>
      </c>
      <c r="L194" s="311"/>
      <c r="M194" s="216" t="str">
        <f t="shared" si="114"/>
        <v/>
      </c>
      <c r="N194" s="304"/>
      <c r="P194" s="156"/>
      <c r="Q194" s="156"/>
      <c r="R194" s="156"/>
      <c r="S194" s="156"/>
      <c r="T194" s="156"/>
    </row>
    <row r="195" spans="1:20">
      <c r="A195" s="1110"/>
      <c r="B195" s="1086"/>
      <c r="C195" s="1112"/>
      <c r="D195" s="306"/>
      <c r="E195" s="306"/>
      <c r="F195" s="307"/>
      <c r="G195" s="307"/>
      <c r="H195" s="308">
        <f t="shared" si="110"/>
        <v>44878</v>
      </c>
      <c r="I195" s="308">
        <f t="shared" si="111"/>
        <v>0</v>
      </c>
      <c r="J195" s="320" t="str">
        <f t="shared" si="112"/>
        <v/>
      </c>
      <c r="K195" s="321" t="str">
        <f t="shared" si="113"/>
        <v/>
      </c>
      <c r="L195" s="311"/>
      <c r="M195" s="216" t="str">
        <f t="shared" si="114"/>
        <v/>
      </c>
      <c r="N195" s="304"/>
      <c r="P195" s="156"/>
      <c r="Q195" s="156"/>
      <c r="R195" s="156"/>
      <c r="S195" s="156"/>
      <c r="T195" s="156"/>
    </row>
    <row r="196" spans="1:20">
      <c r="A196" s="1110"/>
      <c r="B196" s="1086"/>
      <c r="C196" s="1112"/>
      <c r="D196" s="306"/>
      <c r="E196" s="306"/>
      <c r="F196" s="307"/>
      <c r="G196" s="307"/>
      <c r="H196" s="308">
        <f t="shared" si="110"/>
        <v>44878</v>
      </c>
      <c r="I196" s="308">
        <f t="shared" si="111"/>
        <v>0</v>
      </c>
      <c r="J196" s="320" t="str">
        <f t="shared" si="112"/>
        <v/>
      </c>
      <c r="K196" s="321" t="str">
        <f t="shared" si="113"/>
        <v/>
      </c>
      <c r="L196" s="311"/>
      <c r="M196" s="216" t="str">
        <f t="shared" si="114"/>
        <v/>
      </c>
      <c r="N196" s="304"/>
      <c r="P196" s="156"/>
      <c r="Q196" s="156"/>
      <c r="R196" s="156"/>
      <c r="S196" s="156"/>
      <c r="T196" s="156"/>
    </row>
    <row r="197" spans="1:20">
      <c r="A197" s="1110"/>
      <c r="B197" s="1086"/>
      <c r="C197" s="1112"/>
      <c r="D197" s="306"/>
      <c r="E197" s="306"/>
      <c r="F197" s="307"/>
      <c r="G197" s="307"/>
      <c r="H197" s="308">
        <f t="shared" si="110"/>
        <v>44878</v>
      </c>
      <c r="I197" s="308">
        <f t="shared" si="111"/>
        <v>0</v>
      </c>
      <c r="J197" s="320" t="str">
        <f t="shared" si="112"/>
        <v/>
      </c>
      <c r="K197" s="321" t="str">
        <f t="shared" si="113"/>
        <v/>
      </c>
      <c r="L197" s="311"/>
      <c r="M197" s="216" t="str">
        <f t="shared" si="114"/>
        <v/>
      </c>
      <c r="N197" s="304"/>
      <c r="P197" s="156"/>
      <c r="Q197" s="156"/>
      <c r="R197" s="156"/>
      <c r="S197" s="156"/>
      <c r="T197" s="156"/>
    </row>
    <row r="198" spans="1:20">
      <c r="A198" s="1110"/>
      <c r="B198" s="1086"/>
      <c r="C198" s="1112"/>
      <c r="D198" s="306"/>
      <c r="E198" s="306"/>
      <c r="F198" s="307"/>
      <c r="G198" s="307"/>
      <c r="H198" s="308">
        <f t="shared" si="110"/>
        <v>44878</v>
      </c>
      <c r="I198" s="308">
        <f t="shared" si="111"/>
        <v>0</v>
      </c>
      <c r="J198" s="320" t="str">
        <f t="shared" si="112"/>
        <v/>
      </c>
      <c r="K198" s="321" t="str">
        <f t="shared" si="113"/>
        <v/>
      </c>
      <c r="L198" s="311"/>
      <c r="M198" s="216" t="str">
        <f t="shared" si="114"/>
        <v/>
      </c>
      <c r="N198" s="304"/>
      <c r="P198" s="156"/>
      <c r="Q198" s="156"/>
      <c r="R198" s="156"/>
      <c r="S198" s="156"/>
      <c r="T198" s="156"/>
    </row>
    <row r="199" spans="1:20">
      <c r="A199" s="1110"/>
      <c r="B199" s="1086"/>
      <c r="C199" s="1112"/>
      <c r="D199" s="306"/>
      <c r="E199" s="306"/>
      <c r="F199" s="307"/>
      <c r="G199" s="307"/>
      <c r="H199" s="308">
        <f t="shared" si="110"/>
        <v>44878</v>
      </c>
      <c r="I199" s="308">
        <f t="shared" si="111"/>
        <v>0</v>
      </c>
      <c r="J199" s="320" t="str">
        <f t="shared" si="112"/>
        <v/>
      </c>
      <c r="K199" s="321" t="str">
        <f t="shared" si="113"/>
        <v/>
      </c>
      <c r="L199" s="311"/>
      <c r="M199" s="216" t="str">
        <f t="shared" si="114"/>
        <v/>
      </c>
      <c r="N199" s="304"/>
      <c r="P199" s="156"/>
      <c r="Q199" s="156"/>
      <c r="R199" s="156"/>
      <c r="S199" s="156"/>
      <c r="T199" s="156"/>
    </row>
    <row r="200" spans="1:20">
      <c r="A200" s="1110"/>
      <c r="B200" s="1086"/>
      <c r="C200" s="1112"/>
      <c r="D200" s="306"/>
      <c r="E200" s="306"/>
      <c r="F200" s="307"/>
      <c r="G200" s="307"/>
      <c r="H200" s="308">
        <f t="shared" si="110"/>
        <v>44878</v>
      </c>
      <c r="I200" s="308">
        <f t="shared" si="111"/>
        <v>0</v>
      </c>
      <c r="J200" s="320" t="str">
        <f t="shared" si="112"/>
        <v/>
      </c>
      <c r="K200" s="321" t="str">
        <f t="shared" si="113"/>
        <v/>
      </c>
      <c r="L200" s="311"/>
      <c r="M200" s="216" t="str">
        <f t="shared" si="114"/>
        <v/>
      </c>
      <c r="N200" s="304"/>
      <c r="P200" s="156"/>
      <c r="Q200" s="156"/>
      <c r="R200" s="156"/>
      <c r="S200" s="156"/>
      <c r="T200" s="156"/>
    </row>
    <row r="201" spans="1:20">
      <c r="A201" s="1110"/>
      <c r="B201" s="1086"/>
      <c r="C201" s="1112"/>
      <c r="D201" s="306"/>
      <c r="E201" s="306"/>
      <c r="F201" s="307"/>
      <c r="G201" s="307"/>
      <c r="H201" s="308">
        <f t="shared" si="110"/>
        <v>44878</v>
      </c>
      <c r="I201" s="308">
        <f t="shared" si="111"/>
        <v>0</v>
      </c>
      <c r="J201" s="320" t="str">
        <f t="shared" si="112"/>
        <v/>
      </c>
      <c r="K201" s="321" t="str">
        <f t="shared" si="113"/>
        <v/>
      </c>
      <c r="L201" s="311"/>
      <c r="M201" s="216" t="str">
        <f t="shared" si="114"/>
        <v/>
      </c>
      <c r="N201" s="304"/>
      <c r="P201" s="156"/>
      <c r="Q201" s="156"/>
      <c r="R201" s="156"/>
      <c r="S201" s="156"/>
      <c r="T201" s="156"/>
    </row>
    <row r="202" spans="1:20">
      <c r="A202" s="1110"/>
      <c r="B202" s="1086"/>
      <c r="C202" s="1112"/>
      <c r="D202" s="306"/>
      <c r="E202" s="306"/>
      <c r="F202" s="307"/>
      <c r="G202" s="307"/>
      <c r="H202" s="308">
        <f t="shared" si="110"/>
        <v>44878</v>
      </c>
      <c r="I202" s="308">
        <f t="shared" si="111"/>
        <v>0</v>
      </c>
      <c r="J202" s="320" t="str">
        <f t="shared" si="112"/>
        <v/>
      </c>
      <c r="K202" s="321" t="str">
        <f t="shared" si="113"/>
        <v/>
      </c>
      <c r="L202" s="311"/>
      <c r="M202" s="216" t="str">
        <f t="shared" si="114"/>
        <v/>
      </c>
      <c r="N202" s="304"/>
      <c r="P202" s="156"/>
      <c r="Q202" s="156"/>
      <c r="R202" s="156"/>
      <c r="S202" s="156"/>
      <c r="T202" s="156"/>
    </row>
    <row r="203" spans="1:20">
      <c r="A203" s="1110"/>
      <c r="B203" s="1086"/>
      <c r="C203" s="1112"/>
      <c r="D203" s="306"/>
      <c r="E203" s="306"/>
      <c r="F203" s="307"/>
      <c r="G203" s="307"/>
      <c r="H203" s="308">
        <f t="shared" si="110"/>
        <v>44878</v>
      </c>
      <c r="I203" s="308">
        <f t="shared" si="111"/>
        <v>0</v>
      </c>
      <c r="J203" s="320" t="str">
        <f t="shared" si="112"/>
        <v/>
      </c>
      <c r="K203" s="321" t="str">
        <f t="shared" si="113"/>
        <v/>
      </c>
      <c r="L203" s="311"/>
      <c r="M203" s="216" t="str">
        <f t="shared" si="114"/>
        <v/>
      </c>
      <c r="N203" s="304"/>
      <c r="P203" s="156"/>
      <c r="Q203" s="156"/>
      <c r="R203" s="156"/>
      <c r="S203" s="156"/>
      <c r="T203" s="156"/>
    </row>
    <row r="204" spans="1:20">
      <c r="A204" s="1110"/>
      <c r="B204" s="1086"/>
      <c r="C204" s="1112"/>
      <c r="D204" s="306"/>
      <c r="E204" s="306"/>
      <c r="F204" s="307"/>
      <c r="G204" s="307"/>
      <c r="H204" s="308">
        <f t="shared" si="110"/>
        <v>44878</v>
      </c>
      <c r="I204" s="308">
        <f t="shared" si="111"/>
        <v>0</v>
      </c>
      <c r="J204" s="320" t="str">
        <f t="shared" si="112"/>
        <v/>
      </c>
      <c r="K204" s="321" t="str">
        <f t="shared" si="113"/>
        <v/>
      </c>
      <c r="L204" s="311"/>
      <c r="M204" s="216" t="str">
        <f t="shared" si="114"/>
        <v/>
      </c>
      <c r="N204" s="304"/>
      <c r="P204" s="156"/>
      <c r="Q204" s="156"/>
      <c r="R204" s="156"/>
      <c r="S204" s="156"/>
      <c r="T204" s="156"/>
    </row>
    <row r="205" spans="1:20">
      <c r="A205" s="1110"/>
      <c r="B205" s="1086"/>
      <c r="C205" s="1112"/>
      <c r="D205" s="306"/>
      <c r="E205" s="306"/>
      <c r="F205" s="307"/>
      <c r="G205" s="307"/>
      <c r="H205" s="308">
        <f t="shared" si="110"/>
        <v>44878</v>
      </c>
      <c r="I205" s="308">
        <f t="shared" si="111"/>
        <v>0</v>
      </c>
      <c r="J205" s="320" t="str">
        <f t="shared" si="112"/>
        <v/>
      </c>
      <c r="K205" s="321" t="str">
        <f t="shared" si="113"/>
        <v/>
      </c>
      <c r="L205" s="311"/>
      <c r="M205" s="216" t="str">
        <f t="shared" si="114"/>
        <v/>
      </c>
      <c r="N205" s="316"/>
      <c r="P205" s="156"/>
      <c r="Q205" s="156"/>
      <c r="R205" s="156"/>
      <c r="S205" s="156"/>
      <c r="T205" s="156"/>
    </row>
    <row r="206" spans="1:20">
      <c r="A206" s="1110"/>
      <c r="B206" s="1086"/>
      <c r="C206" s="1098" t="s">
        <v>158</v>
      </c>
      <c r="D206" s="1098"/>
      <c r="E206" s="1098"/>
      <c r="F206" s="1098"/>
      <c r="G206" s="1098"/>
      <c r="H206" s="1098"/>
      <c r="I206" s="1098"/>
      <c r="J206" s="1098"/>
      <c r="K206" s="1098"/>
      <c r="L206" s="1098"/>
      <c r="M206" s="325">
        <f>SUM(M186:M205)</f>
        <v>0</v>
      </c>
      <c r="N206" s="316"/>
      <c r="P206" s="156"/>
      <c r="Q206" s="156"/>
      <c r="R206" s="156"/>
      <c r="S206" s="156"/>
      <c r="T206" s="156"/>
    </row>
    <row r="207" spans="1:20">
      <c r="A207" s="1110"/>
      <c r="B207" s="1086"/>
      <c r="C207" s="1105" t="s">
        <v>176</v>
      </c>
      <c r="D207" s="306"/>
      <c r="E207" s="306"/>
      <c r="F207" s="307"/>
      <c r="G207" s="307"/>
      <c r="H207" s="308">
        <f t="shared" ref="H207:H226" si="115">IF(F207&lt;=$I$6,$I$6,F207)</f>
        <v>44878</v>
      </c>
      <c r="I207" s="308">
        <f t="shared" ref="I207:I226" si="116">IF(G207&lt;=$I$7,G207,$I$7)</f>
        <v>0</v>
      </c>
      <c r="J207" s="320" t="str">
        <f t="shared" ref="J207:J226" si="117">IF(F207="","",G207-F207+1)</f>
        <v/>
      </c>
      <c r="K207" s="321" t="str">
        <f t="shared" ref="K207:K226" si="118">IF(F207="","",I207-H207+1)</f>
        <v/>
      </c>
      <c r="L207" s="311"/>
      <c r="M207" s="216" t="str">
        <f t="shared" ref="M207:M226" si="119">IF(F207="","",L207*K207/J207)</f>
        <v/>
      </c>
      <c r="N207" s="316"/>
      <c r="P207" s="156"/>
      <c r="Q207" s="156"/>
      <c r="R207" s="156"/>
      <c r="S207" s="156"/>
      <c r="T207" s="156"/>
    </row>
    <row r="208" spans="1:20">
      <c r="A208" s="1110"/>
      <c r="B208" s="1086"/>
      <c r="C208" s="1095"/>
      <c r="D208" s="306"/>
      <c r="E208" s="306"/>
      <c r="F208" s="307"/>
      <c r="G208" s="307"/>
      <c r="H208" s="308">
        <f t="shared" si="115"/>
        <v>44878</v>
      </c>
      <c r="I208" s="308">
        <f t="shared" si="116"/>
        <v>0</v>
      </c>
      <c r="J208" s="320" t="str">
        <f t="shared" si="117"/>
        <v/>
      </c>
      <c r="K208" s="321" t="str">
        <f t="shared" si="118"/>
        <v/>
      </c>
      <c r="L208" s="311"/>
      <c r="M208" s="216" t="str">
        <f t="shared" si="119"/>
        <v/>
      </c>
      <c r="N208" s="316"/>
      <c r="P208" s="156"/>
      <c r="Q208" s="156"/>
      <c r="R208" s="156"/>
      <c r="S208" s="156"/>
      <c r="T208" s="156"/>
    </row>
    <row r="209" spans="1:20">
      <c r="A209" s="1110"/>
      <c r="B209" s="1086"/>
      <c r="C209" s="1095"/>
      <c r="D209" s="306"/>
      <c r="E209" s="306"/>
      <c r="F209" s="307"/>
      <c r="G209" s="307"/>
      <c r="H209" s="308">
        <f t="shared" si="115"/>
        <v>44878</v>
      </c>
      <c r="I209" s="308">
        <f t="shared" si="116"/>
        <v>0</v>
      </c>
      <c r="J209" s="320" t="str">
        <f t="shared" si="117"/>
        <v/>
      </c>
      <c r="K209" s="321" t="str">
        <f t="shared" si="118"/>
        <v/>
      </c>
      <c r="L209" s="311"/>
      <c r="M209" s="216" t="str">
        <f t="shared" si="119"/>
        <v/>
      </c>
      <c r="N209" s="316"/>
      <c r="P209" s="156"/>
      <c r="Q209" s="156"/>
      <c r="R209" s="156"/>
      <c r="S209" s="156"/>
      <c r="T209" s="156"/>
    </row>
    <row r="210" spans="1:20">
      <c r="A210" s="1110"/>
      <c r="B210" s="1086"/>
      <c r="C210" s="1095"/>
      <c r="D210" s="306"/>
      <c r="E210" s="306"/>
      <c r="F210" s="307"/>
      <c r="G210" s="307"/>
      <c r="H210" s="308">
        <f t="shared" si="115"/>
        <v>44878</v>
      </c>
      <c r="I210" s="308">
        <f t="shared" si="116"/>
        <v>0</v>
      </c>
      <c r="J210" s="320" t="str">
        <f t="shared" si="117"/>
        <v/>
      </c>
      <c r="K210" s="321" t="str">
        <f t="shared" si="118"/>
        <v/>
      </c>
      <c r="L210" s="311"/>
      <c r="M210" s="216" t="str">
        <f t="shared" si="119"/>
        <v/>
      </c>
      <c r="N210" s="316"/>
      <c r="P210" s="156"/>
      <c r="Q210" s="156"/>
      <c r="R210" s="156"/>
      <c r="S210" s="156"/>
      <c r="T210" s="156"/>
    </row>
    <row r="211" spans="1:20">
      <c r="A211" s="1110"/>
      <c r="B211" s="1086"/>
      <c r="C211" s="1095"/>
      <c r="D211" s="306"/>
      <c r="E211" s="306"/>
      <c r="F211" s="307"/>
      <c r="G211" s="307"/>
      <c r="H211" s="308">
        <f t="shared" si="115"/>
        <v>44878</v>
      </c>
      <c r="I211" s="308">
        <f t="shared" si="116"/>
        <v>0</v>
      </c>
      <c r="J211" s="320" t="str">
        <f t="shared" si="117"/>
        <v/>
      </c>
      <c r="K211" s="321" t="str">
        <f t="shared" si="118"/>
        <v/>
      </c>
      <c r="L211" s="311"/>
      <c r="M211" s="216" t="str">
        <f t="shared" si="119"/>
        <v/>
      </c>
      <c r="N211" s="316"/>
      <c r="P211" s="156"/>
      <c r="Q211" s="156"/>
      <c r="R211" s="156"/>
      <c r="S211" s="156"/>
      <c r="T211" s="156"/>
    </row>
    <row r="212" spans="1:20">
      <c r="A212" s="1110"/>
      <c r="B212" s="1086"/>
      <c r="C212" s="1095"/>
      <c r="D212" s="306"/>
      <c r="E212" s="306"/>
      <c r="F212" s="307"/>
      <c r="G212" s="307"/>
      <c r="H212" s="308">
        <f t="shared" si="115"/>
        <v>44878</v>
      </c>
      <c r="I212" s="308">
        <f t="shared" si="116"/>
        <v>0</v>
      </c>
      <c r="J212" s="320" t="str">
        <f t="shared" si="117"/>
        <v/>
      </c>
      <c r="K212" s="321" t="str">
        <f t="shared" si="118"/>
        <v/>
      </c>
      <c r="L212" s="311"/>
      <c r="M212" s="216" t="str">
        <f t="shared" si="119"/>
        <v/>
      </c>
      <c r="N212" s="316"/>
      <c r="P212" s="156"/>
      <c r="Q212" s="156"/>
      <c r="R212" s="156"/>
      <c r="S212" s="156"/>
      <c r="T212" s="156"/>
    </row>
    <row r="213" spans="1:20">
      <c r="A213" s="1110"/>
      <c r="B213" s="1086"/>
      <c r="C213" s="1095"/>
      <c r="D213" s="306"/>
      <c r="E213" s="306"/>
      <c r="F213" s="307"/>
      <c r="G213" s="307"/>
      <c r="H213" s="308">
        <f t="shared" si="115"/>
        <v>44878</v>
      </c>
      <c r="I213" s="308">
        <f t="shared" si="116"/>
        <v>0</v>
      </c>
      <c r="J213" s="320" t="str">
        <f t="shared" si="117"/>
        <v/>
      </c>
      <c r="K213" s="321" t="str">
        <f t="shared" si="118"/>
        <v/>
      </c>
      <c r="L213" s="311"/>
      <c r="M213" s="216" t="str">
        <f t="shared" si="119"/>
        <v/>
      </c>
      <c r="N213" s="316"/>
      <c r="P213" s="156"/>
      <c r="Q213" s="156"/>
      <c r="R213" s="156"/>
      <c r="S213" s="156"/>
      <c r="T213" s="156"/>
    </row>
    <row r="214" spans="1:20">
      <c r="A214" s="1110"/>
      <c r="B214" s="1086"/>
      <c r="C214" s="1095"/>
      <c r="D214" s="306"/>
      <c r="E214" s="306"/>
      <c r="F214" s="307"/>
      <c r="G214" s="307"/>
      <c r="H214" s="308">
        <f t="shared" si="115"/>
        <v>44878</v>
      </c>
      <c r="I214" s="308">
        <f t="shared" si="116"/>
        <v>0</v>
      </c>
      <c r="J214" s="320" t="str">
        <f t="shared" si="117"/>
        <v/>
      </c>
      <c r="K214" s="321" t="str">
        <f t="shared" si="118"/>
        <v/>
      </c>
      <c r="L214" s="311"/>
      <c r="M214" s="216" t="str">
        <f t="shared" si="119"/>
        <v/>
      </c>
      <c r="N214" s="316"/>
      <c r="P214" s="156"/>
      <c r="Q214" s="156"/>
      <c r="R214" s="156"/>
      <c r="S214" s="156"/>
      <c r="T214" s="156"/>
    </row>
    <row r="215" spans="1:20">
      <c r="A215" s="1110"/>
      <c r="B215" s="1086"/>
      <c r="C215" s="1095"/>
      <c r="D215" s="306"/>
      <c r="E215" s="306"/>
      <c r="F215" s="307"/>
      <c r="G215" s="307"/>
      <c r="H215" s="308">
        <f t="shared" si="115"/>
        <v>44878</v>
      </c>
      <c r="I215" s="308">
        <f t="shared" si="116"/>
        <v>0</v>
      </c>
      <c r="J215" s="320" t="str">
        <f t="shared" si="117"/>
        <v/>
      </c>
      <c r="K215" s="321" t="str">
        <f t="shared" si="118"/>
        <v/>
      </c>
      <c r="L215" s="311"/>
      <c r="M215" s="216" t="str">
        <f t="shared" si="119"/>
        <v/>
      </c>
      <c r="N215" s="316"/>
      <c r="P215" s="156"/>
      <c r="Q215" s="156"/>
      <c r="R215" s="156"/>
      <c r="S215" s="156"/>
      <c r="T215" s="156"/>
    </row>
    <row r="216" spans="1:20">
      <c r="A216" s="1110"/>
      <c r="B216" s="1086"/>
      <c r="C216" s="1095"/>
      <c r="D216" s="306"/>
      <c r="E216" s="306"/>
      <c r="F216" s="307"/>
      <c r="G216" s="307"/>
      <c r="H216" s="308">
        <f t="shared" si="115"/>
        <v>44878</v>
      </c>
      <c r="I216" s="308">
        <f t="shared" si="116"/>
        <v>0</v>
      </c>
      <c r="J216" s="320" t="str">
        <f t="shared" si="117"/>
        <v/>
      </c>
      <c r="K216" s="321" t="str">
        <f t="shared" si="118"/>
        <v/>
      </c>
      <c r="L216" s="311"/>
      <c r="M216" s="216" t="str">
        <f t="shared" si="119"/>
        <v/>
      </c>
      <c r="N216" s="316"/>
      <c r="P216" s="156"/>
      <c r="Q216" s="156"/>
      <c r="R216" s="156"/>
      <c r="S216" s="156"/>
      <c r="T216" s="156"/>
    </row>
    <row r="217" spans="1:20">
      <c r="A217" s="1110"/>
      <c r="B217" s="1086"/>
      <c r="C217" s="1095"/>
      <c r="D217" s="306"/>
      <c r="E217" s="306"/>
      <c r="F217" s="307"/>
      <c r="G217" s="307"/>
      <c r="H217" s="308">
        <f t="shared" si="115"/>
        <v>44878</v>
      </c>
      <c r="I217" s="308">
        <f t="shared" si="116"/>
        <v>0</v>
      </c>
      <c r="J217" s="320" t="str">
        <f t="shared" si="117"/>
        <v/>
      </c>
      <c r="K217" s="321" t="str">
        <f t="shared" si="118"/>
        <v/>
      </c>
      <c r="L217" s="311"/>
      <c r="M217" s="216" t="str">
        <f t="shared" si="119"/>
        <v/>
      </c>
      <c r="N217" s="316"/>
      <c r="P217" s="156"/>
      <c r="Q217" s="156"/>
      <c r="R217" s="156"/>
      <c r="S217" s="156"/>
      <c r="T217" s="156"/>
    </row>
    <row r="218" spans="1:20">
      <c r="A218" s="1110"/>
      <c r="B218" s="1086"/>
      <c r="C218" s="1095"/>
      <c r="D218" s="306"/>
      <c r="E218" s="306"/>
      <c r="F218" s="307"/>
      <c r="G218" s="307"/>
      <c r="H218" s="308">
        <f t="shared" si="115"/>
        <v>44878</v>
      </c>
      <c r="I218" s="308">
        <f t="shared" si="116"/>
        <v>0</v>
      </c>
      <c r="J218" s="320" t="str">
        <f t="shared" si="117"/>
        <v/>
      </c>
      <c r="K218" s="321" t="str">
        <f t="shared" si="118"/>
        <v/>
      </c>
      <c r="L218" s="311"/>
      <c r="M218" s="216" t="str">
        <f t="shared" si="119"/>
        <v/>
      </c>
      <c r="N218" s="316"/>
      <c r="P218" s="156"/>
      <c r="Q218" s="156"/>
      <c r="R218" s="156"/>
      <c r="S218" s="156"/>
      <c r="T218" s="156"/>
    </row>
    <row r="219" spans="1:20">
      <c r="A219" s="1110"/>
      <c r="B219" s="1086"/>
      <c r="C219" s="1095"/>
      <c r="D219" s="306"/>
      <c r="E219" s="306"/>
      <c r="F219" s="307"/>
      <c r="G219" s="307"/>
      <c r="H219" s="308">
        <f t="shared" si="115"/>
        <v>44878</v>
      </c>
      <c r="I219" s="308">
        <f t="shared" si="116"/>
        <v>0</v>
      </c>
      <c r="J219" s="320" t="str">
        <f t="shared" si="117"/>
        <v/>
      </c>
      <c r="K219" s="321" t="str">
        <f t="shared" si="118"/>
        <v/>
      </c>
      <c r="L219" s="311"/>
      <c r="M219" s="216" t="str">
        <f t="shared" si="119"/>
        <v/>
      </c>
      <c r="N219" s="316"/>
      <c r="P219" s="156"/>
      <c r="Q219" s="156"/>
      <c r="R219" s="156"/>
      <c r="S219" s="156"/>
      <c r="T219" s="156"/>
    </row>
    <row r="220" spans="1:20">
      <c r="A220" s="1110"/>
      <c r="B220" s="1086"/>
      <c r="C220" s="1095"/>
      <c r="D220" s="306"/>
      <c r="E220" s="306"/>
      <c r="F220" s="307"/>
      <c r="G220" s="307"/>
      <c r="H220" s="308">
        <f t="shared" si="115"/>
        <v>44878</v>
      </c>
      <c r="I220" s="308">
        <f t="shared" si="116"/>
        <v>0</v>
      </c>
      <c r="J220" s="320" t="str">
        <f t="shared" si="117"/>
        <v/>
      </c>
      <c r="K220" s="321" t="str">
        <f t="shared" si="118"/>
        <v/>
      </c>
      <c r="L220" s="311"/>
      <c r="M220" s="216" t="str">
        <f t="shared" si="119"/>
        <v/>
      </c>
      <c r="N220" s="316"/>
      <c r="P220" s="156"/>
      <c r="Q220" s="156"/>
      <c r="R220" s="156"/>
      <c r="S220" s="156"/>
      <c r="T220" s="156"/>
    </row>
    <row r="221" spans="1:20">
      <c r="A221" s="1110"/>
      <c r="B221" s="1086"/>
      <c r="C221" s="1095"/>
      <c r="D221" s="306"/>
      <c r="E221" s="306"/>
      <c r="F221" s="307"/>
      <c r="G221" s="307"/>
      <c r="H221" s="308">
        <f t="shared" si="115"/>
        <v>44878</v>
      </c>
      <c r="I221" s="308">
        <f t="shared" si="116"/>
        <v>0</v>
      </c>
      <c r="J221" s="320" t="str">
        <f t="shared" si="117"/>
        <v/>
      </c>
      <c r="K221" s="321" t="str">
        <f t="shared" si="118"/>
        <v/>
      </c>
      <c r="L221" s="311"/>
      <c r="M221" s="216" t="str">
        <f t="shared" si="119"/>
        <v/>
      </c>
      <c r="N221" s="316"/>
      <c r="P221" s="156"/>
      <c r="Q221" s="156"/>
      <c r="R221" s="156"/>
      <c r="S221" s="156"/>
      <c r="T221" s="156"/>
    </row>
    <row r="222" spans="1:20">
      <c r="A222" s="1110"/>
      <c r="B222" s="1086"/>
      <c r="C222" s="1095"/>
      <c r="D222" s="306"/>
      <c r="E222" s="306"/>
      <c r="F222" s="307"/>
      <c r="G222" s="307"/>
      <c r="H222" s="308">
        <f t="shared" si="115"/>
        <v>44878</v>
      </c>
      <c r="I222" s="308">
        <f t="shared" si="116"/>
        <v>0</v>
      </c>
      <c r="J222" s="320" t="str">
        <f t="shared" si="117"/>
        <v/>
      </c>
      <c r="K222" s="321" t="str">
        <f t="shared" si="118"/>
        <v/>
      </c>
      <c r="L222" s="311"/>
      <c r="M222" s="216" t="str">
        <f t="shared" si="119"/>
        <v/>
      </c>
      <c r="N222" s="316"/>
      <c r="P222" s="156"/>
      <c r="Q222" s="156"/>
      <c r="R222" s="156"/>
      <c r="S222" s="156"/>
      <c r="T222" s="156"/>
    </row>
    <row r="223" spans="1:20">
      <c r="A223" s="1110"/>
      <c r="B223" s="1086"/>
      <c r="C223" s="1095"/>
      <c r="D223" s="306"/>
      <c r="E223" s="306"/>
      <c r="F223" s="307"/>
      <c r="G223" s="307"/>
      <c r="H223" s="308">
        <f t="shared" si="115"/>
        <v>44878</v>
      </c>
      <c r="I223" s="308">
        <f t="shared" si="116"/>
        <v>0</v>
      </c>
      <c r="J223" s="320" t="str">
        <f t="shared" si="117"/>
        <v/>
      </c>
      <c r="K223" s="321" t="str">
        <f t="shared" si="118"/>
        <v/>
      </c>
      <c r="L223" s="311"/>
      <c r="M223" s="216" t="str">
        <f t="shared" si="119"/>
        <v/>
      </c>
      <c r="N223" s="316"/>
      <c r="P223" s="156"/>
      <c r="Q223" s="156"/>
      <c r="R223" s="156"/>
      <c r="S223" s="156"/>
      <c r="T223" s="156"/>
    </row>
    <row r="224" spans="1:20">
      <c r="A224" s="1110"/>
      <c r="B224" s="1086"/>
      <c r="C224" s="1095"/>
      <c r="D224" s="306"/>
      <c r="E224" s="306"/>
      <c r="F224" s="307"/>
      <c r="G224" s="307"/>
      <c r="H224" s="308">
        <f t="shared" si="115"/>
        <v>44878</v>
      </c>
      <c r="I224" s="308">
        <f t="shared" si="116"/>
        <v>0</v>
      </c>
      <c r="J224" s="320" t="str">
        <f t="shared" si="117"/>
        <v/>
      </c>
      <c r="K224" s="321" t="str">
        <f t="shared" si="118"/>
        <v/>
      </c>
      <c r="L224" s="311"/>
      <c r="M224" s="216" t="str">
        <f t="shared" si="119"/>
        <v/>
      </c>
      <c r="N224" s="316"/>
      <c r="P224" s="156"/>
      <c r="Q224" s="156"/>
      <c r="R224" s="156"/>
      <c r="S224" s="156"/>
      <c r="T224" s="156"/>
    </row>
    <row r="225" spans="1:20">
      <c r="A225" s="1110"/>
      <c r="B225" s="1086"/>
      <c r="C225" s="1095"/>
      <c r="D225" s="306"/>
      <c r="E225" s="306"/>
      <c r="F225" s="307"/>
      <c r="G225" s="307"/>
      <c r="H225" s="308">
        <f t="shared" si="115"/>
        <v>44878</v>
      </c>
      <c r="I225" s="308">
        <f t="shared" si="116"/>
        <v>0</v>
      </c>
      <c r="J225" s="320" t="str">
        <f t="shared" si="117"/>
        <v/>
      </c>
      <c r="K225" s="321" t="str">
        <f t="shared" si="118"/>
        <v/>
      </c>
      <c r="L225" s="311"/>
      <c r="M225" s="216" t="str">
        <f t="shared" si="119"/>
        <v/>
      </c>
      <c r="N225" s="316"/>
      <c r="P225" s="156"/>
      <c r="Q225" s="156"/>
      <c r="R225" s="156"/>
      <c r="S225" s="156"/>
      <c r="T225" s="156"/>
    </row>
    <row r="226" spans="1:20">
      <c r="A226" s="1110"/>
      <c r="B226" s="1086"/>
      <c r="C226" s="1095"/>
      <c r="D226" s="306"/>
      <c r="E226" s="306"/>
      <c r="F226" s="307"/>
      <c r="G226" s="307"/>
      <c r="H226" s="308">
        <f t="shared" si="115"/>
        <v>44878</v>
      </c>
      <c r="I226" s="308">
        <f t="shared" si="116"/>
        <v>0</v>
      </c>
      <c r="J226" s="320" t="str">
        <f t="shared" si="117"/>
        <v/>
      </c>
      <c r="K226" s="321" t="str">
        <f t="shared" si="118"/>
        <v/>
      </c>
      <c r="L226" s="311"/>
      <c r="M226" s="216" t="str">
        <f t="shared" si="119"/>
        <v/>
      </c>
      <c r="N226" s="316"/>
      <c r="P226" s="156"/>
      <c r="Q226" s="156"/>
      <c r="R226" s="156"/>
      <c r="S226" s="156"/>
      <c r="T226" s="156"/>
    </row>
    <row r="227" spans="1:20">
      <c r="A227" s="1110"/>
      <c r="B227" s="1087"/>
      <c r="C227" s="1104" t="s">
        <v>158</v>
      </c>
      <c r="D227" s="1104"/>
      <c r="E227" s="1104"/>
      <c r="F227" s="1104"/>
      <c r="G227" s="1104"/>
      <c r="H227" s="1104"/>
      <c r="I227" s="1104"/>
      <c r="J227" s="1104"/>
      <c r="K227" s="1104"/>
      <c r="L227" s="1104"/>
      <c r="M227" s="326">
        <f>SUM(M207:M226)*0.7</f>
        <v>0</v>
      </c>
      <c r="N227" s="316"/>
      <c r="P227" s="156"/>
      <c r="Q227" s="156"/>
      <c r="R227" s="156"/>
      <c r="S227" s="156"/>
      <c r="T227" s="156"/>
    </row>
    <row r="229" spans="1:20" ht="17.25">
      <c r="A229" s="1091" t="str">
        <f>A14</f>
        <v>건설사업관리
용역업자회사명</v>
      </c>
      <c r="B229" s="1095" t="s">
        <v>160</v>
      </c>
      <c r="C229" s="1095"/>
      <c r="D229" s="1095" t="s">
        <v>161</v>
      </c>
      <c r="E229" s="1095" t="s">
        <v>162</v>
      </c>
      <c r="F229" s="1113" t="s">
        <v>177</v>
      </c>
      <c r="G229" s="1113"/>
      <c r="H229" s="1113" t="s">
        <v>164</v>
      </c>
      <c r="I229" s="1113"/>
      <c r="J229" s="1114" t="s">
        <v>165</v>
      </c>
      <c r="K229" s="1116" t="s">
        <v>166</v>
      </c>
      <c r="L229" s="1118" t="s">
        <v>167</v>
      </c>
      <c r="M229" s="1106" t="s">
        <v>168</v>
      </c>
      <c r="N229" s="1108" t="s">
        <v>169</v>
      </c>
      <c r="P229" s="156"/>
      <c r="Q229" s="156"/>
      <c r="R229" s="156"/>
      <c r="S229" s="156"/>
      <c r="T229" s="156"/>
    </row>
    <row r="230" spans="1:20">
      <c r="A230" s="1093"/>
      <c r="B230" s="1095"/>
      <c r="C230" s="1095"/>
      <c r="D230" s="1095"/>
      <c r="E230" s="1095"/>
      <c r="F230" s="304" t="s">
        <v>170</v>
      </c>
      <c r="G230" s="304" t="s">
        <v>178</v>
      </c>
      <c r="H230" s="304" t="s">
        <v>172</v>
      </c>
      <c r="I230" s="304" t="s">
        <v>173</v>
      </c>
      <c r="J230" s="1115"/>
      <c r="K230" s="1117"/>
      <c r="L230" s="1119"/>
      <c r="M230" s="1107"/>
      <c r="N230" s="1109"/>
      <c r="P230" s="156"/>
      <c r="Q230" s="156"/>
      <c r="R230" s="156"/>
      <c r="S230" s="156"/>
      <c r="T230" s="156"/>
    </row>
    <row r="231" spans="1:20">
      <c r="A231" s="1110">
        <f>A9</f>
        <v>0</v>
      </c>
      <c r="B231" s="1085" t="s">
        <v>179</v>
      </c>
      <c r="C231" s="1111" t="s">
        <v>175</v>
      </c>
      <c r="D231" s="1096"/>
      <c r="E231" s="1096"/>
      <c r="F231" s="307"/>
      <c r="G231" s="307"/>
      <c r="H231" s="308">
        <f>IF(F231&lt;=$I$6,$I$6,F231)</f>
        <v>44878</v>
      </c>
      <c r="I231" s="308">
        <f>IF(G231&lt;=$I$7,G231,$I$7)</f>
        <v>0</v>
      </c>
      <c r="J231" s="320" t="str">
        <f>IF(F231="","",G231-F231+1)</f>
        <v/>
      </c>
      <c r="K231" s="321" t="str">
        <f>IF(F231="","",I231-H231+1)</f>
        <v/>
      </c>
      <c r="L231" s="311"/>
      <c r="M231" s="216" t="str">
        <f>IF(F231="","",L231*K231/J231)</f>
        <v/>
      </c>
      <c r="N231" s="1102"/>
      <c r="P231" s="156"/>
      <c r="Q231" s="156"/>
      <c r="R231" s="156"/>
      <c r="S231" s="156"/>
      <c r="T231" s="156"/>
    </row>
    <row r="232" spans="1:20">
      <c r="A232" s="1110"/>
      <c r="B232" s="1086"/>
      <c r="C232" s="1112"/>
      <c r="D232" s="1097"/>
      <c r="E232" s="1097"/>
      <c r="F232" s="1099"/>
      <c r="G232" s="1100"/>
      <c r="H232" s="1100"/>
      <c r="I232" s="1100"/>
      <c r="J232" s="1100"/>
      <c r="K232" s="1101"/>
      <c r="L232" s="311"/>
      <c r="M232" s="216">
        <f>L232</f>
        <v>0</v>
      </c>
      <c r="N232" s="1103"/>
      <c r="P232" s="156"/>
      <c r="Q232" s="156"/>
      <c r="R232" s="156"/>
      <c r="S232" s="156"/>
      <c r="T232" s="156"/>
    </row>
    <row r="233" spans="1:20">
      <c r="A233" s="1110"/>
      <c r="B233" s="1086"/>
      <c r="C233" s="1112"/>
      <c r="D233" s="1096"/>
      <c r="E233" s="1096"/>
      <c r="F233" s="307"/>
      <c r="G233" s="307"/>
      <c r="H233" s="308">
        <f>IF(F233&lt;=$I$6,$I$6,F233)</f>
        <v>44878</v>
      </c>
      <c r="I233" s="308">
        <f>IF(G233&lt;=$I$7,G233,$I$7)</f>
        <v>0</v>
      </c>
      <c r="J233" s="320" t="str">
        <f>IF(F233="","",G233-F233+1)</f>
        <v/>
      </c>
      <c r="K233" s="321" t="str">
        <f>IF(F233="","",I233-H233+1)</f>
        <v/>
      </c>
      <c r="L233" s="311"/>
      <c r="M233" s="216" t="str">
        <f>IF(F233="","",L233*K233/J233)</f>
        <v/>
      </c>
      <c r="N233" s="1102"/>
      <c r="P233" s="156"/>
      <c r="Q233" s="156"/>
      <c r="R233" s="156"/>
      <c r="S233" s="156"/>
      <c r="T233" s="156"/>
    </row>
    <row r="234" spans="1:20">
      <c r="A234" s="1110"/>
      <c r="B234" s="1086"/>
      <c r="C234" s="1112"/>
      <c r="D234" s="1097"/>
      <c r="E234" s="1097"/>
      <c r="F234" s="1099"/>
      <c r="G234" s="1100"/>
      <c r="H234" s="1100"/>
      <c r="I234" s="1100"/>
      <c r="J234" s="1100"/>
      <c r="K234" s="1101"/>
      <c r="L234" s="311"/>
      <c r="M234" s="216">
        <f>L234</f>
        <v>0</v>
      </c>
      <c r="N234" s="1103"/>
      <c r="P234" s="156"/>
      <c r="Q234" s="156"/>
      <c r="R234" s="156"/>
      <c r="S234" s="156"/>
      <c r="T234" s="156"/>
    </row>
    <row r="235" spans="1:20">
      <c r="A235" s="1110"/>
      <c r="B235" s="1086"/>
      <c r="C235" s="1112"/>
      <c r="D235" s="1096"/>
      <c r="E235" s="1096"/>
      <c r="F235" s="307"/>
      <c r="G235" s="307"/>
      <c r="H235" s="308">
        <f>IF(F235&lt;=$I$6,$I$6,F235)</f>
        <v>44878</v>
      </c>
      <c r="I235" s="308">
        <f>IF(G235&lt;=$I$7,G235,$I$7)</f>
        <v>0</v>
      </c>
      <c r="J235" s="320" t="str">
        <f>IF(F235="","",G235-F235+1)</f>
        <v/>
      </c>
      <c r="K235" s="321" t="str">
        <f>IF(F235="","",I235-H235+1)</f>
        <v/>
      </c>
      <c r="L235" s="311"/>
      <c r="M235" s="216" t="str">
        <f>IF(F235="","",L235*K235/J235)</f>
        <v/>
      </c>
      <c r="N235" s="1102"/>
      <c r="P235" s="156"/>
      <c r="Q235" s="156"/>
      <c r="R235" s="156"/>
      <c r="S235" s="156"/>
      <c r="T235" s="156"/>
    </row>
    <row r="236" spans="1:20">
      <c r="A236" s="1110"/>
      <c r="B236" s="1086"/>
      <c r="C236" s="1112"/>
      <c r="D236" s="1097"/>
      <c r="E236" s="1097"/>
      <c r="F236" s="1099"/>
      <c r="G236" s="1100"/>
      <c r="H236" s="1100"/>
      <c r="I236" s="1100"/>
      <c r="J236" s="1100"/>
      <c r="K236" s="1101"/>
      <c r="L236" s="311"/>
      <c r="M236" s="216">
        <f>L236</f>
        <v>0</v>
      </c>
      <c r="N236" s="1103"/>
      <c r="P236" s="156"/>
      <c r="Q236" s="156"/>
      <c r="R236" s="156"/>
      <c r="S236" s="156"/>
      <c r="T236" s="156"/>
    </row>
    <row r="237" spans="1:20">
      <c r="A237" s="1110"/>
      <c r="B237" s="1086"/>
      <c r="C237" s="1112"/>
      <c r="D237" s="1096"/>
      <c r="E237" s="1096"/>
      <c r="F237" s="307"/>
      <c r="G237" s="307"/>
      <c r="H237" s="308">
        <f>IF(F237&lt;=$I$6,$I$6,F237)</f>
        <v>44878</v>
      </c>
      <c r="I237" s="308">
        <f>IF(G237&lt;=$I$7,G237,$I$7)</f>
        <v>0</v>
      </c>
      <c r="J237" s="320" t="str">
        <f>IF(F237="","",G237-F237+1)</f>
        <v/>
      </c>
      <c r="K237" s="321" t="str">
        <f>IF(F237="","",I237-H237+1)</f>
        <v/>
      </c>
      <c r="L237" s="311"/>
      <c r="M237" s="216" t="str">
        <f>IF(F237="","",L237*K237/J237)</f>
        <v/>
      </c>
      <c r="N237" s="1102"/>
      <c r="P237" s="156"/>
      <c r="Q237" s="156"/>
      <c r="R237" s="156"/>
      <c r="S237" s="156"/>
      <c r="T237" s="156"/>
    </row>
    <row r="238" spans="1:20">
      <c r="A238" s="1110"/>
      <c r="B238" s="1086"/>
      <c r="C238" s="1112"/>
      <c r="D238" s="1097"/>
      <c r="E238" s="1097"/>
      <c r="F238" s="1099"/>
      <c r="G238" s="1100"/>
      <c r="H238" s="1100"/>
      <c r="I238" s="1100"/>
      <c r="J238" s="1100"/>
      <c r="K238" s="1101"/>
      <c r="L238" s="311"/>
      <c r="M238" s="216">
        <f>L238</f>
        <v>0</v>
      </c>
      <c r="N238" s="1103"/>
      <c r="P238" s="156"/>
      <c r="Q238" s="156"/>
      <c r="R238" s="156"/>
      <c r="S238" s="156"/>
      <c r="T238" s="156"/>
    </row>
    <row r="239" spans="1:20">
      <c r="A239" s="1110"/>
      <c r="B239" s="1086"/>
      <c r="C239" s="1112"/>
      <c r="D239" s="1096"/>
      <c r="E239" s="1096"/>
      <c r="F239" s="307"/>
      <c r="G239" s="307"/>
      <c r="H239" s="308">
        <f>IF(F239&lt;=$I$6,$I$6,F239)</f>
        <v>44878</v>
      </c>
      <c r="I239" s="308">
        <f>IF(G239&lt;=$I$7,G239,$I$7)</f>
        <v>0</v>
      </c>
      <c r="J239" s="320" t="str">
        <f>IF(F239="","",G239-F239+1)</f>
        <v/>
      </c>
      <c r="K239" s="321" t="str">
        <f>IF(F239="","",I239-H239+1)</f>
        <v/>
      </c>
      <c r="L239" s="311"/>
      <c r="M239" s="216" t="str">
        <f>IF(F239="","",L239*K239/J239)</f>
        <v/>
      </c>
      <c r="N239" s="1102"/>
      <c r="P239" s="156"/>
      <c r="Q239" s="156"/>
      <c r="R239" s="156"/>
      <c r="S239" s="156"/>
      <c r="T239" s="156"/>
    </row>
    <row r="240" spans="1:20">
      <c r="A240" s="1110"/>
      <c r="B240" s="1086"/>
      <c r="C240" s="1112"/>
      <c r="D240" s="1097"/>
      <c r="E240" s="1097"/>
      <c r="F240" s="1099"/>
      <c r="G240" s="1100"/>
      <c r="H240" s="1100"/>
      <c r="I240" s="1100"/>
      <c r="J240" s="1100"/>
      <c r="K240" s="1101"/>
      <c r="L240" s="311"/>
      <c r="M240" s="216">
        <f>L240</f>
        <v>0</v>
      </c>
      <c r="N240" s="1103"/>
      <c r="P240" s="156"/>
      <c r="Q240" s="156"/>
      <c r="R240" s="156"/>
      <c r="S240" s="156"/>
      <c r="T240" s="156"/>
    </row>
    <row r="241" spans="1:20">
      <c r="A241" s="1110"/>
      <c r="B241" s="1086"/>
      <c r="C241" s="1112"/>
      <c r="D241" s="1096"/>
      <c r="E241" s="1096"/>
      <c r="F241" s="307"/>
      <c r="G241" s="307"/>
      <c r="H241" s="308">
        <f>IF(F241&lt;=$I$6,$I$6,F241)</f>
        <v>44878</v>
      </c>
      <c r="I241" s="308">
        <f>IF(G241&lt;=$I$7,G241,$I$7)</f>
        <v>0</v>
      </c>
      <c r="J241" s="320" t="str">
        <f>IF(F241="","",G241-F241+1)</f>
        <v/>
      </c>
      <c r="K241" s="321" t="str">
        <f>IF(F241="","",I241-H241+1)</f>
        <v/>
      </c>
      <c r="L241" s="311"/>
      <c r="M241" s="216" t="str">
        <f>IF(F241="","",L241*K241/J241)</f>
        <v/>
      </c>
      <c r="N241" s="1102"/>
      <c r="P241" s="156"/>
      <c r="Q241" s="156"/>
      <c r="R241" s="156"/>
      <c r="S241" s="156"/>
      <c r="T241" s="156"/>
    </row>
    <row r="242" spans="1:20">
      <c r="A242" s="1110"/>
      <c r="B242" s="1086"/>
      <c r="C242" s="1112"/>
      <c r="D242" s="1097"/>
      <c r="E242" s="1097"/>
      <c r="F242" s="1099"/>
      <c r="G242" s="1100"/>
      <c r="H242" s="1100"/>
      <c r="I242" s="1100"/>
      <c r="J242" s="1100"/>
      <c r="K242" s="1101"/>
      <c r="L242" s="311"/>
      <c r="M242" s="216">
        <f>L242</f>
        <v>0</v>
      </c>
      <c r="N242" s="1103"/>
      <c r="P242" s="156"/>
      <c r="Q242" s="156"/>
      <c r="R242" s="156"/>
      <c r="S242" s="156"/>
      <c r="T242" s="156"/>
    </row>
    <row r="243" spans="1:20">
      <c r="A243" s="1110"/>
      <c r="B243" s="1086"/>
      <c r="C243" s="1112"/>
      <c r="D243" s="1096"/>
      <c r="E243" s="1096"/>
      <c r="F243" s="307"/>
      <c r="G243" s="307"/>
      <c r="H243" s="308">
        <f>IF(F243&lt;=$I$6,$I$6,F243)</f>
        <v>44878</v>
      </c>
      <c r="I243" s="308">
        <f>IF(G243&lt;=$I$7,G243,$I$7)</f>
        <v>0</v>
      </c>
      <c r="J243" s="320" t="str">
        <f>IF(F243="","",G243-F243+1)</f>
        <v/>
      </c>
      <c r="K243" s="321" t="str">
        <f>IF(F243="","",I243-H243+1)</f>
        <v/>
      </c>
      <c r="L243" s="311"/>
      <c r="M243" s="216" t="str">
        <f>IF(F243="","",L243*K243/J243)</f>
        <v/>
      </c>
      <c r="N243" s="1102"/>
      <c r="P243" s="156"/>
      <c r="Q243" s="156"/>
      <c r="R243" s="156"/>
      <c r="S243" s="156"/>
      <c r="T243" s="156"/>
    </row>
    <row r="244" spans="1:20">
      <c r="A244" s="1110"/>
      <c r="B244" s="1086"/>
      <c r="C244" s="1112"/>
      <c r="D244" s="1097"/>
      <c r="E244" s="1097"/>
      <c r="F244" s="1099"/>
      <c r="G244" s="1100"/>
      <c r="H244" s="1100"/>
      <c r="I244" s="1100"/>
      <c r="J244" s="1100"/>
      <c r="K244" s="1101"/>
      <c r="L244" s="311"/>
      <c r="M244" s="216">
        <f>L244</f>
        <v>0</v>
      </c>
      <c r="N244" s="1103"/>
      <c r="P244" s="156"/>
      <c r="Q244" s="156"/>
      <c r="R244" s="156"/>
      <c r="S244" s="156"/>
      <c r="T244" s="156"/>
    </row>
    <row r="245" spans="1:20">
      <c r="A245" s="1110"/>
      <c r="B245" s="1086"/>
      <c r="C245" s="1112"/>
      <c r="D245" s="1096"/>
      <c r="E245" s="1096"/>
      <c r="F245" s="307"/>
      <c r="G245" s="307"/>
      <c r="H245" s="308">
        <f>IF(F245&lt;=$I$6,$I$6,F245)</f>
        <v>44878</v>
      </c>
      <c r="I245" s="308">
        <f>IF(G245&lt;=$I$7,G245,$I$7)</f>
        <v>0</v>
      </c>
      <c r="J245" s="320" t="str">
        <f>IF(F245="","",G245-F245+1)</f>
        <v/>
      </c>
      <c r="K245" s="321" t="str">
        <f>IF(F245="","",I245-H245+1)</f>
        <v/>
      </c>
      <c r="L245" s="311"/>
      <c r="M245" s="216" t="str">
        <f>IF(F245="","",L245*K245/J245)</f>
        <v/>
      </c>
      <c r="N245" s="1102"/>
      <c r="P245" s="156"/>
      <c r="Q245" s="156"/>
      <c r="R245" s="156"/>
      <c r="S245" s="156"/>
      <c r="T245" s="156"/>
    </row>
    <row r="246" spans="1:20">
      <c r="A246" s="1110"/>
      <c r="B246" s="1086"/>
      <c r="C246" s="1112"/>
      <c r="D246" s="1097"/>
      <c r="E246" s="1097"/>
      <c r="F246" s="1099"/>
      <c r="G246" s="1100"/>
      <c r="H246" s="1100"/>
      <c r="I246" s="1100"/>
      <c r="J246" s="1100"/>
      <c r="K246" s="1101"/>
      <c r="L246" s="311"/>
      <c r="M246" s="216">
        <f>L246</f>
        <v>0</v>
      </c>
      <c r="N246" s="1103"/>
      <c r="P246" s="156"/>
      <c r="Q246" s="156"/>
      <c r="R246" s="156"/>
      <c r="S246" s="156"/>
      <c r="T246" s="156"/>
    </row>
    <row r="247" spans="1:20">
      <c r="A247" s="1110"/>
      <c r="B247" s="1086"/>
      <c r="C247" s="1112"/>
      <c r="D247" s="1096"/>
      <c r="E247" s="1096"/>
      <c r="F247" s="307"/>
      <c r="G247" s="307"/>
      <c r="H247" s="308">
        <f>IF(F247&lt;=$I$6,$I$6,F247)</f>
        <v>44878</v>
      </c>
      <c r="I247" s="308">
        <f>IF(G247&lt;=$I$7,G247,$I$7)</f>
        <v>0</v>
      </c>
      <c r="J247" s="320" t="str">
        <f>IF(F247="","",G247-F247+1)</f>
        <v/>
      </c>
      <c r="K247" s="321" t="str">
        <f>IF(F247="","",I247-H247+1)</f>
        <v/>
      </c>
      <c r="L247" s="311"/>
      <c r="M247" s="216" t="str">
        <f>IF(F247="","",L247*K247/J247)</f>
        <v/>
      </c>
      <c r="N247" s="1102"/>
      <c r="P247" s="156"/>
      <c r="Q247" s="156"/>
      <c r="R247" s="156"/>
      <c r="S247" s="156"/>
      <c r="T247" s="156"/>
    </row>
    <row r="248" spans="1:20">
      <c r="A248" s="1110"/>
      <c r="B248" s="1086"/>
      <c r="C248" s="1112"/>
      <c r="D248" s="1097"/>
      <c r="E248" s="1097"/>
      <c r="F248" s="1099"/>
      <c r="G248" s="1100"/>
      <c r="H248" s="1100"/>
      <c r="I248" s="1100"/>
      <c r="J248" s="1100"/>
      <c r="K248" s="1101"/>
      <c r="L248" s="311"/>
      <c r="M248" s="216">
        <f>L248</f>
        <v>0</v>
      </c>
      <c r="N248" s="1103"/>
      <c r="P248" s="156"/>
      <c r="Q248" s="156"/>
      <c r="R248" s="156"/>
      <c r="S248" s="156"/>
      <c r="T248" s="156"/>
    </row>
    <row r="249" spans="1:20">
      <c r="A249" s="1110"/>
      <c r="B249" s="1086"/>
      <c r="C249" s="1112"/>
      <c r="D249" s="1096"/>
      <c r="E249" s="1096"/>
      <c r="F249" s="307"/>
      <c r="G249" s="307"/>
      <c r="H249" s="308">
        <f>IF(F249&lt;=$I$6,$I$6,F249)</f>
        <v>44878</v>
      </c>
      <c r="I249" s="308">
        <f>IF(G249&lt;=$I$7,G249,$I$7)</f>
        <v>0</v>
      </c>
      <c r="J249" s="320" t="str">
        <f>IF(F249="","",G249-F249+1)</f>
        <v/>
      </c>
      <c r="K249" s="321" t="str">
        <f>IF(F249="","",I249-H249+1)</f>
        <v/>
      </c>
      <c r="L249" s="311"/>
      <c r="M249" s="216" t="str">
        <f>IF(F249="","",L249*K249/J249)</f>
        <v/>
      </c>
      <c r="N249" s="1102"/>
      <c r="P249" s="156"/>
      <c r="Q249" s="156"/>
      <c r="R249" s="156"/>
      <c r="S249" s="156"/>
      <c r="T249" s="156"/>
    </row>
    <row r="250" spans="1:20">
      <c r="A250" s="1110"/>
      <c r="B250" s="1086"/>
      <c r="C250" s="1112"/>
      <c r="D250" s="1097"/>
      <c r="E250" s="1097"/>
      <c r="F250" s="1099"/>
      <c r="G250" s="1100"/>
      <c r="H250" s="1100"/>
      <c r="I250" s="1100"/>
      <c r="J250" s="1100"/>
      <c r="K250" s="1101"/>
      <c r="L250" s="311"/>
      <c r="M250" s="216">
        <f>L250</f>
        <v>0</v>
      </c>
      <c r="N250" s="1103"/>
      <c r="P250" s="156"/>
      <c r="Q250" s="156"/>
      <c r="R250" s="156"/>
      <c r="S250" s="156"/>
      <c r="T250" s="156"/>
    </row>
    <row r="251" spans="1:20">
      <c r="A251" s="1110"/>
      <c r="B251" s="1086"/>
      <c r="C251" s="1098" t="s">
        <v>158</v>
      </c>
      <c r="D251" s="1098"/>
      <c r="E251" s="1098"/>
      <c r="F251" s="1098"/>
      <c r="G251" s="1098"/>
      <c r="H251" s="1098"/>
      <c r="I251" s="1098"/>
      <c r="J251" s="1098"/>
      <c r="K251" s="1098"/>
      <c r="L251" s="1098"/>
      <c r="M251" s="325">
        <f>SUM(M231:M250)</f>
        <v>0</v>
      </c>
      <c r="N251" s="316"/>
      <c r="P251" s="156"/>
      <c r="Q251" s="156"/>
      <c r="R251" s="156"/>
      <c r="S251" s="156"/>
      <c r="T251" s="156"/>
    </row>
    <row r="252" spans="1:20">
      <c r="A252" s="1110"/>
      <c r="B252" s="1086"/>
      <c r="C252" s="1105" t="s">
        <v>176</v>
      </c>
      <c r="D252" s="1096"/>
      <c r="E252" s="1096"/>
      <c r="F252" s="307"/>
      <c r="G252" s="307"/>
      <c r="H252" s="308">
        <f>IF(F252&lt;=$I$6,$I$6,F252)</f>
        <v>44878</v>
      </c>
      <c r="I252" s="308">
        <f>IF(G252&lt;=$I$7,G252,$I$7)</f>
        <v>0</v>
      </c>
      <c r="J252" s="320" t="str">
        <f>IF(F252="","",G252-F252+1)</f>
        <v/>
      </c>
      <c r="K252" s="321" t="str">
        <f>IF(F252="","",I252-H252+1)</f>
        <v/>
      </c>
      <c r="L252" s="311"/>
      <c r="M252" s="216" t="str">
        <f>IF(F252="","",L252*K252/J252)</f>
        <v/>
      </c>
      <c r="N252" s="1102"/>
      <c r="P252" s="156"/>
      <c r="Q252" s="156"/>
      <c r="R252" s="156"/>
      <c r="S252" s="156"/>
      <c r="T252" s="156"/>
    </row>
    <row r="253" spans="1:20">
      <c r="A253" s="1110"/>
      <c r="B253" s="1086"/>
      <c r="C253" s="1095"/>
      <c r="D253" s="1097"/>
      <c r="E253" s="1097"/>
      <c r="F253" s="1099"/>
      <c r="G253" s="1100"/>
      <c r="H253" s="1100"/>
      <c r="I253" s="1100"/>
      <c r="J253" s="1100"/>
      <c r="K253" s="1101"/>
      <c r="L253" s="311"/>
      <c r="M253" s="216">
        <f>L253</f>
        <v>0</v>
      </c>
      <c r="N253" s="1103"/>
      <c r="P253" s="156"/>
      <c r="Q253" s="156"/>
      <c r="R253" s="156"/>
      <c r="S253" s="156"/>
      <c r="T253" s="156"/>
    </row>
    <row r="254" spans="1:20">
      <c r="A254" s="1110"/>
      <c r="B254" s="1086"/>
      <c r="C254" s="1095"/>
      <c r="D254" s="1096"/>
      <c r="E254" s="1096"/>
      <c r="F254" s="307"/>
      <c r="G254" s="307"/>
      <c r="H254" s="308">
        <f>IF(F254&lt;=$I$6,$I$6,F254)</f>
        <v>44878</v>
      </c>
      <c r="I254" s="308">
        <f>IF(G254&lt;=$I$7,G254,$I$7)</f>
        <v>0</v>
      </c>
      <c r="J254" s="320" t="str">
        <f>IF(F254="","",G254-F254+1)</f>
        <v/>
      </c>
      <c r="K254" s="321" t="str">
        <f>IF(F254="","",I254-H254+1)</f>
        <v/>
      </c>
      <c r="L254" s="311"/>
      <c r="M254" s="216" t="str">
        <f>IF(F254="","",L254*K254/J254)</f>
        <v/>
      </c>
      <c r="N254" s="1102"/>
      <c r="P254" s="156"/>
      <c r="Q254" s="156"/>
      <c r="R254" s="156"/>
      <c r="S254" s="156"/>
      <c r="T254" s="156"/>
    </row>
    <row r="255" spans="1:20">
      <c r="A255" s="1110"/>
      <c r="B255" s="1086"/>
      <c r="C255" s="1095"/>
      <c r="D255" s="1097"/>
      <c r="E255" s="1097"/>
      <c r="F255" s="1099"/>
      <c r="G255" s="1100"/>
      <c r="H255" s="1100"/>
      <c r="I255" s="1100"/>
      <c r="J255" s="1100"/>
      <c r="K255" s="1101"/>
      <c r="L255" s="311"/>
      <c r="M255" s="216">
        <f>L255</f>
        <v>0</v>
      </c>
      <c r="N255" s="1103"/>
      <c r="P255" s="156"/>
      <c r="Q255" s="156"/>
      <c r="R255" s="156"/>
      <c r="S255" s="156"/>
      <c r="T255" s="156"/>
    </row>
    <row r="256" spans="1:20">
      <c r="A256" s="1110"/>
      <c r="B256" s="1086"/>
      <c r="C256" s="1095"/>
      <c r="D256" s="1096"/>
      <c r="E256" s="1096"/>
      <c r="F256" s="307"/>
      <c r="G256" s="307"/>
      <c r="H256" s="308">
        <f>IF(F256&lt;=$I$6,$I$6,F256)</f>
        <v>44878</v>
      </c>
      <c r="I256" s="308">
        <f>IF(G256&lt;=$I$7,G256,$I$7)</f>
        <v>0</v>
      </c>
      <c r="J256" s="320" t="str">
        <f>IF(F256="","",G256-F256+1)</f>
        <v/>
      </c>
      <c r="K256" s="321" t="str">
        <f>IF(F256="","",I256-H256+1)</f>
        <v/>
      </c>
      <c r="L256" s="311"/>
      <c r="M256" s="216" t="str">
        <f>IF(F256="","",L256*K256/J256)</f>
        <v/>
      </c>
      <c r="N256" s="1102"/>
      <c r="P256" s="156"/>
      <c r="Q256" s="156"/>
      <c r="R256" s="156"/>
      <c r="S256" s="156"/>
      <c r="T256" s="156"/>
    </row>
    <row r="257" spans="1:20">
      <c r="A257" s="1110"/>
      <c r="B257" s="1086"/>
      <c r="C257" s="1095"/>
      <c r="D257" s="1097"/>
      <c r="E257" s="1097"/>
      <c r="F257" s="1099"/>
      <c r="G257" s="1100"/>
      <c r="H257" s="1100"/>
      <c r="I257" s="1100"/>
      <c r="J257" s="1100"/>
      <c r="K257" s="1101"/>
      <c r="L257" s="311"/>
      <c r="M257" s="216">
        <f>L257</f>
        <v>0</v>
      </c>
      <c r="N257" s="1103"/>
      <c r="P257" s="156"/>
      <c r="Q257" s="156"/>
      <c r="R257" s="156"/>
      <c r="S257" s="156"/>
      <c r="T257" s="156"/>
    </row>
    <row r="258" spans="1:20">
      <c r="A258" s="1110"/>
      <c r="B258" s="1086"/>
      <c r="C258" s="1095"/>
      <c r="D258" s="1096"/>
      <c r="E258" s="1096"/>
      <c r="F258" s="307"/>
      <c r="G258" s="307"/>
      <c r="H258" s="308">
        <f>IF(F258&lt;=$I$6,$I$6,F258)</f>
        <v>44878</v>
      </c>
      <c r="I258" s="308">
        <f>IF(G258&lt;=$I$7,G258,$I$7)</f>
        <v>0</v>
      </c>
      <c r="J258" s="320" t="str">
        <f>IF(F258="","",G258-F258+1)</f>
        <v/>
      </c>
      <c r="K258" s="321" t="str">
        <f>IF(F258="","",I258-H258+1)</f>
        <v/>
      </c>
      <c r="L258" s="311"/>
      <c r="M258" s="216" t="str">
        <f>IF(F258="","",L258*K258/J258)</f>
        <v/>
      </c>
      <c r="N258" s="1102"/>
      <c r="P258" s="156"/>
      <c r="Q258" s="156"/>
      <c r="R258" s="156"/>
      <c r="S258" s="156"/>
      <c r="T258" s="156"/>
    </row>
    <row r="259" spans="1:20">
      <c r="A259" s="1110"/>
      <c r="B259" s="1086"/>
      <c r="C259" s="1095"/>
      <c r="D259" s="1097"/>
      <c r="E259" s="1097"/>
      <c r="F259" s="1099"/>
      <c r="G259" s="1100"/>
      <c r="H259" s="1100"/>
      <c r="I259" s="1100"/>
      <c r="J259" s="1100"/>
      <c r="K259" s="1101"/>
      <c r="L259" s="311"/>
      <c r="M259" s="216">
        <f>L259</f>
        <v>0</v>
      </c>
      <c r="N259" s="1103"/>
      <c r="P259" s="156"/>
      <c r="Q259" s="156"/>
      <c r="R259" s="156"/>
      <c r="S259" s="156"/>
      <c r="T259" s="156"/>
    </row>
    <row r="260" spans="1:20">
      <c r="A260" s="1110"/>
      <c r="B260" s="1086"/>
      <c r="C260" s="1095"/>
      <c r="D260" s="1096"/>
      <c r="E260" s="1096"/>
      <c r="F260" s="307"/>
      <c r="G260" s="307"/>
      <c r="H260" s="308">
        <f>IF(F260&lt;=$I$6,$I$6,F260)</f>
        <v>44878</v>
      </c>
      <c r="I260" s="308">
        <f>IF(G260&lt;=$I$7,G260,$I$7)</f>
        <v>0</v>
      </c>
      <c r="J260" s="320" t="str">
        <f>IF(F260="","",G260-F260+1)</f>
        <v/>
      </c>
      <c r="K260" s="321" t="str">
        <f>IF(F260="","",I260-H260+1)</f>
        <v/>
      </c>
      <c r="L260" s="311"/>
      <c r="M260" s="216" t="str">
        <f>IF(F260="","",L260*K260/J260)</f>
        <v/>
      </c>
      <c r="N260" s="1102"/>
      <c r="P260" s="156"/>
      <c r="Q260" s="156"/>
      <c r="R260" s="156"/>
      <c r="S260" s="156"/>
      <c r="T260" s="156"/>
    </row>
    <row r="261" spans="1:20">
      <c r="A261" s="1110"/>
      <c r="B261" s="1086"/>
      <c r="C261" s="1095"/>
      <c r="D261" s="1097"/>
      <c r="E261" s="1097"/>
      <c r="F261" s="1099"/>
      <c r="G261" s="1100"/>
      <c r="H261" s="1100"/>
      <c r="I261" s="1100"/>
      <c r="J261" s="1100"/>
      <c r="K261" s="1101"/>
      <c r="L261" s="311"/>
      <c r="M261" s="216">
        <f>L261</f>
        <v>0</v>
      </c>
      <c r="N261" s="1103"/>
      <c r="P261" s="156"/>
      <c r="Q261" s="156"/>
      <c r="R261" s="156"/>
      <c r="S261" s="156"/>
      <c r="T261" s="156"/>
    </row>
    <row r="262" spans="1:20">
      <c r="A262" s="1110"/>
      <c r="B262" s="1086"/>
      <c r="C262" s="1095"/>
      <c r="D262" s="1096"/>
      <c r="E262" s="1096"/>
      <c r="F262" s="307"/>
      <c r="G262" s="307"/>
      <c r="H262" s="308">
        <f>IF(F262&lt;=$I$6,$I$6,F262)</f>
        <v>44878</v>
      </c>
      <c r="I262" s="308">
        <f>IF(G262&lt;=$I$7,G262,$I$7)</f>
        <v>0</v>
      </c>
      <c r="J262" s="320" t="str">
        <f>IF(F262="","",G262-F262+1)</f>
        <v/>
      </c>
      <c r="K262" s="321" t="str">
        <f>IF(F262="","",I262-H262+1)</f>
        <v/>
      </c>
      <c r="L262" s="311"/>
      <c r="M262" s="216" t="str">
        <f>IF(F262="","",L262*K262/J262)</f>
        <v/>
      </c>
      <c r="N262" s="1102"/>
      <c r="P262" s="156"/>
      <c r="Q262" s="156"/>
      <c r="R262" s="156"/>
      <c r="S262" s="156"/>
      <c r="T262" s="156"/>
    </row>
    <row r="263" spans="1:20">
      <c r="A263" s="1110"/>
      <c r="B263" s="1086"/>
      <c r="C263" s="1095"/>
      <c r="D263" s="1097"/>
      <c r="E263" s="1097"/>
      <c r="F263" s="1099"/>
      <c r="G263" s="1100"/>
      <c r="H263" s="1100"/>
      <c r="I263" s="1100"/>
      <c r="J263" s="1100"/>
      <c r="K263" s="1101"/>
      <c r="L263" s="311"/>
      <c r="M263" s="216">
        <f>L263</f>
        <v>0</v>
      </c>
      <c r="N263" s="1103"/>
      <c r="P263" s="156"/>
      <c r="Q263" s="156"/>
      <c r="R263" s="156"/>
      <c r="S263" s="156"/>
      <c r="T263" s="156"/>
    </row>
    <row r="264" spans="1:20">
      <c r="A264" s="1110"/>
      <c r="B264" s="1086"/>
      <c r="C264" s="1095"/>
      <c r="D264" s="1096"/>
      <c r="E264" s="1096"/>
      <c r="F264" s="307"/>
      <c r="G264" s="307"/>
      <c r="H264" s="308">
        <f>IF(F264&lt;=$I$6,$I$6,F264)</f>
        <v>44878</v>
      </c>
      <c r="I264" s="308">
        <f>IF(G264&lt;=$I$7,G264,$I$7)</f>
        <v>0</v>
      </c>
      <c r="J264" s="320" t="str">
        <f>IF(F264="","",G264-F264+1)</f>
        <v/>
      </c>
      <c r="K264" s="321" t="str">
        <f>IF(F264="","",I264-H264+1)</f>
        <v/>
      </c>
      <c r="L264" s="311"/>
      <c r="M264" s="216" t="str">
        <f>IF(F264="","",L264*K264/J264)</f>
        <v/>
      </c>
      <c r="N264" s="1102"/>
      <c r="P264" s="156"/>
      <c r="Q264" s="156"/>
      <c r="R264" s="156"/>
      <c r="S264" s="156"/>
      <c r="T264" s="156"/>
    </row>
    <row r="265" spans="1:20">
      <c r="A265" s="1110"/>
      <c r="B265" s="1086"/>
      <c r="C265" s="1095"/>
      <c r="D265" s="1097"/>
      <c r="E265" s="1097"/>
      <c r="F265" s="1099"/>
      <c r="G265" s="1100"/>
      <c r="H265" s="1100"/>
      <c r="I265" s="1100"/>
      <c r="J265" s="1100"/>
      <c r="K265" s="1101"/>
      <c r="L265" s="311"/>
      <c r="M265" s="216">
        <f>L265</f>
        <v>0</v>
      </c>
      <c r="N265" s="1103"/>
      <c r="P265" s="156"/>
      <c r="Q265" s="156"/>
      <c r="R265" s="156"/>
      <c r="S265" s="156"/>
      <c r="T265" s="156"/>
    </row>
    <row r="266" spans="1:20">
      <c r="A266" s="1110"/>
      <c r="B266" s="1086"/>
      <c r="C266" s="1095"/>
      <c r="D266" s="1096"/>
      <c r="E266" s="1096"/>
      <c r="F266" s="307"/>
      <c r="G266" s="307"/>
      <c r="H266" s="308">
        <f>IF(F266&lt;=$I$6,$I$6,F266)</f>
        <v>44878</v>
      </c>
      <c r="I266" s="308">
        <f>IF(G266&lt;=$I$7,G266,$I$7)</f>
        <v>0</v>
      </c>
      <c r="J266" s="320" t="str">
        <f>IF(F266="","",G266-F266+1)</f>
        <v/>
      </c>
      <c r="K266" s="321" t="str">
        <f>IF(F266="","",I266-H266+1)</f>
        <v/>
      </c>
      <c r="L266" s="311"/>
      <c r="M266" s="216" t="str">
        <f>IF(F266="","",L266*K266/J266)</f>
        <v/>
      </c>
      <c r="N266" s="1102"/>
      <c r="P266" s="156"/>
      <c r="Q266" s="156"/>
      <c r="R266" s="156"/>
      <c r="S266" s="156"/>
      <c r="T266" s="156"/>
    </row>
    <row r="267" spans="1:20">
      <c r="A267" s="1110"/>
      <c r="B267" s="1086"/>
      <c r="C267" s="1095"/>
      <c r="D267" s="1097"/>
      <c r="E267" s="1097"/>
      <c r="F267" s="1099"/>
      <c r="G267" s="1100"/>
      <c r="H267" s="1100"/>
      <c r="I267" s="1100"/>
      <c r="J267" s="1100"/>
      <c r="K267" s="1101"/>
      <c r="L267" s="311"/>
      <c r="M267" s="216">
        <f>L267</f>
        <v>0</v>
      </c>
      <c r="N267" s="1103"/>
      <c r="P267" s="156"/>
      <c r="Q267" s="156"/>
      <c r="R267" s="156"/>
      <c r="S267" s="156"/>
      <c r="T267" s="156"/>
    </row>
    <row r="268" spans="1:20">
      <c r="A268" s="1110"/>
      <c r="B268" s="1086"/>
      <c r="C268" s="1095"/>
      <c r="D268" s="1096"/>
      <c r="E268" s="1096"/>
      <c r="F268" s="307"/>
      <c r="G268" s="307"/>
      <c r="H268" s="308">
        <f>IF(F268&lt;=$I$6,$I$6,F268)</f>
        <v>44878</v>
      </c>
      <c r="I268" s="308">
        <f>IF(G268&lt;=$I$7,G268,$I$7)</f>
        <v>0</v>
      </c>
      <c r="J268" s="320" t="str">
        <f>IF(F268="","",G268-F268+1)</f>
        <v/>
      </c>
      <c r="K268" s="321" t="str">
        <f>IF(F268="","",I268-H268+1)</f>
        <v/>
      </c>
      <c r="L268" s="311"/>
      <c r="M268" s="216" t="str">
        <f>IF(F268="","",L268*K268/J268)</f>
        <v/>
      </c>
      <c r="N268" s="1102"/>
      <c r="P268" s="156"/>
      <c r="Q268" s="156"/>
      <c r="R268" s="156"/>
      <c r="S268" s="156"/>
      <c r="T268" s="156"/>
    </row>
    <row r="269" spans="1:20">
      <c r="A269" s="1110"/>
      <c r="B269" s="1086"/>
      <c r="C269" s="1095"/>
      <c r="D269" s="1097"/>
      <c r="E269" s="1097"/>
      <c r="F269" s="1099"/>
      <c r="G269" s="1100"/>
      <c r="H269" s="1100"/>
      <c r="I269" s="1100"/>
      <c r="J269" s="1100"/>
      <c r="K269" s="1101"/>
      <c r="L269" s="311"/>
      <c r="M269" s="216">
        <f>L269</f>
        <v>0</v>
      </c>
      <c r="N269" s="1103"/>
      <c r="P269" s="156"/>
      <c r="Q269" s="156"/>
      <c r="R269" s="156"/>
      <c r="S269" s="156"/>
      <c r="T269" s="156"/>
    </row>
    <row r="270" spans="1:20">
      <c r="A270" s="1110"/>
      <c r="B270" s="1086"/>
      <c r="C270" s="1095"/>
      <c r="D270" s="1096"/>
      <c r="E270" s="1096"/>
      <c r="F270" s="307"/>
      <c r="G270" s="307"/>
      <c r="H270" s="308">
        <f>IF(F270&lt;=$I$6,$I$6,F270)</f>
        <v>44878</v>
      </c>
      <c r="I270" s="308">
        <f>IF(G270&lt;=$I$7,G270,$I$7)</f>
        <v>0</v>
      </c>
      <c r="J270" s="320" t="str">
        <f>IF(F270="","",G270-F270+1)</f>
        <v/>
      </c>
      <c r="K270" s="321" t="str">
        <f>IF(F270="","",I270-H270+1)</f>
        <v/>
      </c>
      <c r="L270" s="311"/>
      <c r="M270" s="216" t="str">
        <f>IF(F270="","",L270*K270/J270)</f>
        <v/>
      </c>
      <c r="N270" s="1102"/>
      <c r="P270" s="156"/>
      <c r="Q270" s="156"/>
      <c r="R270" s="156"/>
      <c r="S270" s="156"/>
      <c r="T270" s="156"/>
    </row>
    <row r="271" spans="1:20">
      <c r="A271" s="1110"/>
      <c r="B271" s="1086"/>
      <c r="C271" s="1095"/>
      <c r="D271" s="1097"/>
      <c r="E271" s="1097"/>
      <c r="F271" s="1099"/>
      <c r="G271" s="1100"/>
      <c r="H271" s="1100"/>
      <c r="I271" s="1100"/>
      <c r="J271" s="1100"/>
      <c r="K271" s="1101"/>
      <c r="L271" s="311"/>
      <c r="M271" s="216">
        <f>L271</f>
        <v>0</v>
      </c>
      <c r="N271" s="1103"/>
      <c r="P271" s="156"/>
      <c r="Q271" s="156"/>
      <c r="R271" s="156"/>
      <c r="S271" s="156"/>
      <c r="T271" s="156"/>
    </row>
    <row r="272" spans="1:20">
      <c r="A272" s="1110"/>
      <c r="B272" s="1087"/>
      <c r="C272" s="1104" t="s">
        <v>158</v>
      </c>
      <c r="D272" s="1104"/>
      <c r="E272" s="1104"/>
      <c r="F272" s="1104"/>
      <c r="G272" s="1104"/>
      <c r="H272" s="1104"/>
      <c r="I272" s="1104"/>
      <c r="J272" s="1104"/>
      <c r="K272" s="1104"/>
      <c r="L272" s="1104"/>
      <c r="M272" s="326">
        <f>SUM(M252:M271)*0.7</f>
        <v>0</v>
      </c>
      <c r="N272" s="316"/>
      <c r="P272" s="156"/>
      <c r="Q272" s="156"/>
      <c r="R272" s="156"/>
      <c r="S272" s="156"/>
      <c r="T272" s="156"/>
    </row>
    <row r="276" spans="1:20" ht="31.5">
      <c r="A276" s="1120" t="s">
        <v>364</v>
      </c>
      <c r="B276" s="1120"/>
      <c r="C276" s="1120"/>
      <c r="E276" s="1121">
        <f>A10</f>
        <v>0</v>
      </c>
      <c r="F276" s="1121"/>
      <c r="G276" s="1121"/>
      <c r="H276" s="1121"/>
      <c r="I276" s="1121"/>
      <c r="J276" s="1121"/>
      <c r="K276" s="1121"/>
      <c r="P276" s="156"/>
      <c r="Q276" s="156"/>
      <c r="R276" s="156"/>
      <c r="S276" s="156"/>
      <c r="T276" s="156"/>
    </row>
    <row r="277" spans="1:20" ht="17.25">
      <c r="A277" s="1091" t="str">
        <f>A94</f>
        <v>건설사업관리
용역업자회사명</v>
      </c>
      <c r="B277" s="1095" t="s">
        <v>340</v>
      </c>
      <c r="C277" s="1095"/>
      <c r="D277" s="1095" t="s">
        <v>142</v>
      </c>
      <c r="E277" s="1095" t="s">
        <v>341</v>
      </c>
      <c r="F277" s="1113" t="s">
        <v>342</v>
      </c>
      <c r="G277" s="1113"/>
      <c r="H277" s="1113" t="s">
        <v>343</v>
      </c>
      <c r="I277" s="1113"/>
      <c r="J277" s="1114" t="s">
        <v>344</v>
      </c>
      <c r="K277" s="1116" t="s">
        <v>345</v>
      </c>
      <c r="L277" s="1118" t="s">
        <v>346</v>
      </c>
      <c r="M277" s="1106" t="s">
        <v>347</v>
      </c>
      <c r="N277" s="1108" t="s">
        <v>348</v>
      </c>
      <c r="P277" s="156"/>
      <c r="Q277" s="156"/>
      <c r="R277" s="156"/>
      <c r="S277" s="156"/>
      <c r="T277" s="156"/>
    </row>
    <row r="278" spans="1:20">
      <c r="A278" s="1093"/>
      <c r="B278" s="1095"/>
      <c r="C278" s="1095"/>
      <c r="D278" s="1095"/>
      <c r="E278" s="1095"/>
      <c r="F278" s="304" t="s">
        <v>349</v>
      </c>
      <c r="G278" s="304" t="s">
        <v>350</v>
      </c>
      <c r="H278" s="304" t="s">
        <v>152</v>
      </c>
      <c r="I278" s="304" t="s">
        <v>153</v>
      </c>
      <c r="J278" s="1115"/>
      <c r="K278" s="1117"/>
      <c r="L278" s="1119"/>
      <c r="M278" s="1107"/>
      <c r="N278" s="1109"/>
      <c r="P278" s="156"/>
      <c r="Q278" s="156"/>
      <c r="R278" s="156"/>
      <c r="S278" s="156"/>
      <c r="T278" s="156"/>
    </row>
    <row r="279" spans="1:20">
      <c r="A279" s="1110" t="e">
        <f>#REF!</f>
        <v>#REF!</v>
      </c>
      <c r="B279" s="1085" t="s">
        <v>351</v>
      </c>
      <c r="C279" s="1111" t="s">
        <v>352</v>
      </c>
      <c r="D279" s="306"/>
      <c r="E279" s="306"/>
      <c r="F279" s="307"/>
      <c r="G279" s="307"/>
      <c r="H279" s="308">
        <f t="shared" ref="H279:H298" si="120">IF(F279&lt;=$I$6,$I$6,F279)</f>
        <v>44878</v>
      </c>
      <c r="I279" s="308">
        <f t="shared" ref="I279:I298" si="121">IF(G279&lt;=$I$7,G279,$I$7)</f>
        <v>0</v>
      </c>
      <c r="J279" s="320" t="str">
        <f t="shared" ref="J279:J298" si="122">IF(F279="","",G279-F279+1)</f>
        <v/>
      </c>
      <c r="K279" s="321" t="str">
        <f t="shared" ref="K279:K298" si="123">IF(F279="","",I279-H279+1)</f>
        <v/>
      </c>
      <c r="L279" s="311"/>
      <c r="M279" s="216" t="str">
        <f t="shared" ref="M279:M298" si="124">IF(F279="","",L279*K279/J279)</f>
        <v/>
      </c>
      <c r="N279" s="304"/>
      <c r="P279" s="156"/>
      <c r="Q279" s="156"/>
      <c r="R279" s="156"/>
      <c r="S279" s="156"/>
      <c r="T279" s="156"/>
    </row>
    <row r="280" spans="1:20">
      <c r="A280" s="1110"/>
      <c r="B280" s="1086"/>
      <c r="C280" s="1112"/>
      <c r="D280" s="306"/>
      <c r="E280" s="306"/>
      <c r="F280" s="307"/>
      <c r="G280" s="307"/>
      <c r="H280" s="308">
        <f t="shared" si="120"/>
        <v>44878</v>
      </c>
      <c r="I280" s="308">
        <f t="shared" si="121"/>
        <v>0</v>
      </c>
      <c r="J280" s="320" t="str">
        <f t="shared" si="122"/>
        <v/>
      </c>
      <c r="K280" s="321" t="str">
        <f t="shared" si="123"/>
        <v/>
      </c>
      <c r="L280" s="311"/>
      <c r="M280" s="216" t="str">
        <f t="shared" si="124"/>
        <v/>
      </c>
      <c r="N280" s="304"/>
      <c r="P280" s="156"/>
      <c r="Q280" s="156"/>
      <c r="R280" s="156"/>
      <c r="S280" s="156"/>
      <c r="T280" s="156"/>
    </row>
    <row r="281" spans="1:20">
      <c r="A281" s="1110"/>
      <c r="B281" s="1086"/>
      <c r="C281" s="1112"/>
      <c r="D281" s="306"/>
      <c r="E281" s="306"/>
      <c r="F281" s="307"/>
      <c r="G281" s="307"/>
      <c r="H281" s="308">
        <f t="shared" si="120"/>
        <v>44878</v>
      </c>
      <c r="I281" s="308">
        <f t="shared" si="121"/>
        <v>0</v>
      </c>
      <c r="J281" s="320" t="str">
        <f t="shared" si="122"/>
        <v/>
      </c>
      <c r="K281" s="321" t="str">
        <f t="shared" si="123"/>
        <v/>
      </c>
      <c r="L281" s="311"/>
      <c r="M281" s="216" t="str">
        <f t="shared" si="124"/>
        <v/>
      </c>
      <c r="N281" s="304"/>
      <c r="P281" s="156"/>
      <c r="Q281" s="156"/>
      <c r="R281" s="156"/>
      <c r="S281" s="156"/>
      <c r="T281" s="156"/>
    </row>
    <row r="282" spans="1:20">
      <c r="A282" s="1110"/>
      <c r="B282" s="1086"/>
      <c r="C282" s="1112"/>
      <c r="D282" s="306"/>
      <c r="E282" s="306"/>
      <c r="F282" s="307"/>
      <c r="G282" s="307"/>
      <c r="H282" s="308">
        <f t="shared" si="120"/>
        <v>44878</v>
      </c>
      <c r="I282" s="308">
        <f t="shared" si="121"/>
        <v>0</v>
      </c>
      <c r="J282" s="320" t="str">
        <f t="shared" si="122"/>
        <v/>
      </c>
      <c r="K282" s="321" t="str">
        <f t="shared" si="123"/>
        <v/>
      </c>
      <c r="L282" s="311"/>
      <c r="M282" s="216" t="str">
        <f t="shared" si="124"/>
        <v/>
      </c>
      <c r="N282" s="304"/>
      <c r="P282" s="156"/>
      <c r="Q282" s="156"/>
      <c r="R282" s="156"/>
      <c r="S282" s="156"/>
      <c r="T282" s="156"/>
    </row>
    <row r="283" spans="1:20">
      <c r="A283" s="1110"/>
      <c r="B283" s="1086"/>
      <c r="C283" s="1112"/>
      <c r="D283" s="306"/>
      <c r="E283" s="306"/>
      <c r="F283" s="307"/>
      <c r="G283" s="307"/>
      <c r="H283" s="308">
        <f t="shared" si="120"/>
        <v>44878</v>
      </c>
      <c r="I283" s="308">
        <f t="shared" si="121"/>
        <v>0</v>
      </c>
      <c r="J283" s="320" t="str">
        <f t="shared" si="122"/>
        <v/>
      </c>
      <c r="K283" s="321" t="str">
        <f t="shared" si="123"/>
        <v/>
      </c>
      <c r="L283" s="311"/>
      <c r="M283" s="216" t="str">
        <f t="shared" si="124"/>
        <v/>
      </c>
      <c r="N283" s="304"/>
      <c r="P283" s="156"/>
      <c r="Q283" s="156"/>
      <c r="R283" s="156"/>
      <c r="S283" s="156"/>
      <c r="T283" s="156"/>
    </row>
    <row r="284" spans="1:20">
      <c r="A284" s="1110"/>
      <c r="B284" s="1086"/>
      <c r="C284" s="1112"/>
      <c r="D284" s="306"/>
      <c r="E284" s="306"/>
      <c r="F284" s="307"/>
      <c r="G284" s="307"/>
      <c r="H284" s="308">
        <f t="shared" si="120"/>
        <v>44878</v>
      </c>
      <c r="I284" s="308">
        <f t="shared" si="121"/>
        <v>0</v>
      </c>
      <c r="J284" s="320" t="str">
        <f t="shared" si="122"/>
        <v/>
      </c>
      <c r="K284" s="321" t="str">
        <f t="shared" si="123"/>
        <v/>
      </c>
      <c r="L284" s="311"/>
      <c r="M284" s="216" t="str">
        <f t="shared" si="124"/>
        <v/>
      </c>
      <c r="N284" s="304"/>
      <c r="P284" s="156"/>
      <c r="Q284" s="156"/>
      <c r="R284" s="156"/>
      <c r="S284" s="156"/>
      <c r="T284" s="156"/>
    </row>
    <row r="285" spans="1:20">
      <c r="A285" s="1110"/>
      <c r="B285" s="1086"/>
      <c r="C285" s="1112"/>
      <c r="D285" s="306"/>
      <c r="E285" s="306"/>
      <c r="F285" s="307"/>
      <c r="G285" s="307"/>
      <c r="H285" s="308">
        <f t="shared" si="120"/>
        <v>44878</v>
      </c>
      <c r="I285" s="308">
        <f t="shared" si="121"/>
        <v>0</v>
      </c>
      <c r="J285" s="320" t="str">
        <f t="shared" si="122"/>
        <v/>
      </c>
      <c r="K285" s="321" t="str">
        <f t="shared" si="123"/>
        <v/>
      </c>
      <c r="L285" s="311"/>
      <c r="M285" s="216" t="str">
        <f t="shared" si="124"/>
        <v/>
      </c>
      <c r="N285" s="304"/>
      <c r="P285" s="156"/>
      <c r="Q285" s="156"/>
      <c r="R285" s="156"/>
      <c r="S285" s="156"/>
      <c r="T285" s="156"/>
    </row>
    <row r="286" spans="1:20">
      <c r="A286" s="1110"/>
      <c r="B286" s="1086"/>
      <c r="C286" s="1112"/>
      <c r="D286" s="306"/>
      <c r="E286" s="306"/>
      <c r="F286" s="307"/>
      <c r="G286" s="307"/>
      <c r="H286" s="308">
        <f t="shared" si="120"/>
        <v>44878</v>
      </c>
      <c r="I286" s="308">
        <f t="shared" si="121"/>
        <v>0</v>
      </c>
      <c r="J286" s="320" t="str">
        <f t="shared" si="122"/>
        <v/>
      </c>
      <c r="K286" s="321" t="str">
        <f t="shared" si="123"/>
        <v/>
      </c>
      <c r="L286" s="311"/>
      <c r="M286" s="216" t="str">
        <f t="shared" si="124"/>
        <v/>
      </c>
      <c r="N286" s="304"/>
      <c r="P286" s="156"/>
      <c r="Q286" s="156"/>
      <c r="R286" s="156"/>
      <c r="S286" s="156"/>
      <c r="T286" s="156"/>
    </row>
    <row r="287" spans="1:20">
      <c r="A287" s="1110"/>
      <c r="B287" s="1086"/>
      <c r="C287" s="1112"/>
      <c r="D287" s="306"/>
      <c r="E287" s="306"/>
      <c r="F287" s="307"/>
      <c r="G287" s="307"/>
      <c r="H287" s="308">
        <f t="shared" si="120"/>
        <v>44878</v>
      </c>
      <c r="I287" s="308">
        <f t="shared" si="121"/>
        <v>0</v>
      </c>
      <c r="J287" s="320" t="str">
        <f t="shared" si="122"/>
        <v/>
      </c>
      <c r="K287" s="321" t="str">
        <f t="shared" si="123"/>
        <v/>
      </c>
      <c r="L287" s="311"/>
      <c r="M287" s="216" t="str">
        <f t="shared" si="124"/>
        <v/>
      </c>
      <c r="N287" s="304"/>
      <c r="P287" s="156"/>
      <c r="Q287" s="156"/>
      <c r="R287" s="156"/>
      <c r="S287" s="156"/>
      <c r="T287" s="156"/>
    </row>
    <row r="288" spans="1:20">
      <c r="A288" s="1110"/>
      <c r="B288" s="1086"/>
      <c r="C288" s="1112"/>
      <c r="D288" s="306"/>
      <c r="E288" s="306"/>
      <c r="F288" s="307"/>
      <c r="G288" s="307"/>
      <c r="H288" s="308">
        <f t="shared" si="120"/>
        <v>44878</v>
      </c>
      <c r="I288" s="308">
        <f t="shared" si="121"/>
        <v>0</v>
      </c>
      <c r="J288" s="320" t="str">
        <f t="shared" si="122"/>
        <v/>
      </c>
      <c r="K288" s="321" t="str">
        <f t="shared" si="123"/>
        <v/>
      </c>
      <c r="L288" s="311"/>
      <c r="M288" s="216" t="str">
        <f t="shared" si="124"/>
        <v/>
      </c>
      <c r="N288" s="304"/>
      <c r="P288" s="156"/>
      <c r="Q288" s="156"/>
      <c r="R288" s="156"/>
      <c r="S288" s="156"/>
      <c r="T288" s="156"/>
    </row>
    <row r="289" spans="1:20">
      <c r="A289" s="1110"/>
      <c r="B289" s="1086"/>
      <c r="C289" s="1112"/>
      <c r="D289" s="306"/>
      <c r="E289" s="306"/>
      <c r="F289" s="307"/>
      <c r="G289" s="307"/>
      <c r="H289" s="308">
        <f t="shared" si="120"/>
        <v>44878</v>
      </c>
      <c r="I289" s="308">
        <f t="shared" si="121"/>
        <v>0</v>
      </c>
      <c r="J289" s="320" t="str">
        <f t="shared" si="122"/>
        <v/>
      </c>
      <c r="K289" s="321" t="str">
        <f t="shared" si="123"/>
        <v/>
      </c>
      <c r="L289" s="311"/>
      <c r="M289" s="216" t="str">
        <f t="shared" si="124"/>
        <v/>
      </c>
      <c r="N289" s="304"/>
      <c r="P289" s="156"/>
      <c r="Q289" s="156"/>
      <c r="R289" s="156"/>
      <c r="S289" s="156"/>
      <c r="T289" s="156"/>
    </row>
    <row r="290" spans="1:20">
      <c r="A290" s="1110"/>
      <c r="B290" s="1086"/>
      <c r="C290" s="1112"/>
      <c r="D290" s="306"/>
      <c r="E290" s="306"/>
      <c r="F290" s="307"/>
      <c r="G290" s="307"/>
      <c r="H290" s="308">
        <f t="shared" si="120"/>
        <v>44878</v>
      </c>
      <c r="I290" s="308">
        <f t="shared" si="121"/>
        <v>0</v>
      </c>
      <c r="J290" s="320" t="str">
        <f t="shared" si="122"/>
        <v/>
      </c>
      <c r="K290" s="321" t="str">
        <f t="shared" si="123"/>
        <v/>
      </c>
      <c r="L290" s="311"/>
      <c r="M290" s="216" t="str">
        <f t="shared" si="124"/>
        <v/>
      </c>
      <c r="N290" s="304"/>
      <c r="P290" s="156"/>
      <c r="Q290" s="156"/>
      <c r="R290" s="156"/>
      <c r="S290" s="156"/>
      <c r="T290" s="156"/>
    </row>
    <row r="291" spans="1:20">
      <c r="A291" s="1110"/>
      <c r="B291" s="1086"/>
      <c r="C291" s="1112"/>
      <c r="D291" s="306"/>
      <c r="E291" s="306"/>
      <c r="F291" s="307"/>
      <c r="G291" s="307"/>
      <c r="H291" s="308">
        <f t="shared" si="120"/>
        <v>44878</v>
      </c>
      <c r="I291" s="308">
        <f t="shared" si="121"/>
        <v>0</v>
      </c>
      <c r="J291" s="320" t="str">
        <f t="shared" si="122"/>
        <v/>
      </c>
      <c r="K291" s="321" t="str">
        <f t="shared" si="123"/>
        <v/>
      </c>
      <c r="L291" s="311"/>
      <c r="M291" s="216" t="str">
        <f t="shared" si="124"/>
        <v/>
      </c>
      <c r="N291" s="304"/>
      <c r="P291" s="156"/>
      <c r="Q291" s="156"/>
      <c r="R291" s="156"/>
      <c r="S291" s="156"/>
      <c r="T291" s="156"/>
    </row>
    <row r="292" spans="1:20">
      <c r="A292" s="1110"/>
      <c r="B292" s="1086"/>
      <c r="C292" s="1112"/>
      <c r="D292" s="306"/>
      <c r="E292" s="306"/>
      <c r="F292" s="307"/>
      <c r="G292" s="307"/>
      <c r="H292" s="308">
        <f t="shared" si="120"/>
        <v>44878</v>
      </c>
      <c r="I292" s="308">
        <f t="shared" si="121"/>
        <v>0</v>
      </c>
      <c r="J292" s="320" t="str">
        <f t="shared" si="122"/>
        <v/>
      </c>
      <c r="K292" s="321" t="str">
        <f t="shared" si="123"/>
        <v/>
      </c>
      <c r="L292" s="311"/>
      <c r="M292" s="216" t="str">
        <f t="shared" si="124"/>
        <v/>
      </c>
      <c r="N292" s="304"/>
      <c r="P292" s="156"/>
      <c r="Q292" s="156"/>
      <c r="R292" s="156"/>
      <c r="S292" s="156"/>
      <c r="T292" s="156"/>
    </row>
    <row r="293" spans="1:20">
      <c r="A293" s="1110"/>
      <c r="B293" s="1086"/>
      <c r="C293" s="1112"/>
      <c r="D293" s="306"/>
      <c r="E293" s="306"/>
      <c r="F293" s="307"/>
      <c r="G293" s="307"/>
      <c r="H293" s="308">
        <f t="shared" si="120"/>
        <v>44878</v>
      </c>
      <c r="I293" s="308">
        <f t="shared" si="121"/>
        <v>0</v>
      </c>
      <c r="J293" s="320" t="str">
        <f t="shared" si="122"/>
        <v/>
      </c>
      <c r="K293" s="321" t="str">
        <f t="shared" si="123"/>
        <v/>
      </c>
      <c r="L293" s="311"/>
      <c r="M293" s="216" t="str">
        <f t="shared" si="124"/>
        <v/>
      </c>
      <c r="N293" s="304"/>
      <c r="P293" s="156"/>
      <c r="Q293" s="156"/>
      <c r="R293" s="156"/>
      <c r="S293" s="156"/>
      <c r="T293" s="156"/>
    </row>
    <row r="294" spans="1:20">
      <c r="A294" s="1110"/>
      <c r="B294" s="1086"/>
      <c r="C294" s="1112"/>
      <c r="D294" s="306"/>
      <c r="E294" s="306"/>
      <c r="F294" s="307"/>
      <c r="G294" s="307"/>
      <c r="H294" s="308">
        <f t="shared" si="120"/>
        <v>44878</v>
      </c>
      <c r="I294" s="308">
        <f t="shared" si="121"/>
        <v>0</v>
      </c>
      <c r="J294" s="320" t="str">
        <f t="shared" si="122"/>
        <v/>
      </c>
      <c r="K294" s="321" t="str">
        <f t="shared" si="123"/>
        <v/>
      </c>
      <c r="L294" s="311"/>
      <c r="M294" s="216" t="str">
        <f t="shared" si="124"/>
        <v/>
      </c>
      <c r="N294" s="304"/>
      <c r="P294" s="156"/>
      <c r="Q294" s="156"/>
      <c r="R294" s="156"/>
      <c r="S294" s="156"/>
      <c r="T294" s="156"/>
    </row>
    <row r="295" spans="1:20">
      <c r="A295" s="1110"/>
      <c r="B295" s="1086"/>
      <c r="C295" s="1112"/>
      <c r="D295" s="306"/>
      <c r="E295" s="306"/>
      <c r="F295" s="307"/>
      <c r="G295" s="307"/>
      <c r="H295" s="308">
        <f t="shared" si="120"/>
        <v>44878</v>
      </c>
      <c r="I295" s="308">
        <f t="shared" si="121"/>
        <v>0</v>
      </c>
      <c r="J295" s="320" t="str">
        <f t="shared" si="122"/>
        <v/>
      </c>
      <c r="K295" s="321" t="str">
        <f t="shared" si="123"/>
        <v/>
      </c>
      <c r="L295" s="311"/>
      <c r="M295" s="216" t="str">
        <f t="shared" si="124"/>
        <v/>
      </c>
      <c r="N295" s="304"/>
      <c r="P295" s="156"/>
      <c r="Q295" s="156"/>
      <c r="R295" s="156"/>
      <c r="S295" s="156"/>
      <c r="T295" s="156"/>
    </row>
    <row r="296" spans="1:20">
      <c r="A296" s="1110"/>
      <c r="B296" s="1086"/>
      <c r="C296" s="1112"/>
      <c r="D296" s="306"/>
      <c r="E296" s="306"/>
      <c r="F296" s="307"/>
      <c r="G296" s="307"/>
      <c r="H296" s="308">
        <f t="shared" si="120"/>
        <v>44878</v>
      </c>
      <c r="I296" s="308">
        <f t="shared" si="121"/>
        <v>0</v>
      </c>
      <c r="J296" s="320" t="str">
        <f t="shared" si="122"/>
        <v/>
      </c>
      <c r="K296" s="321" t="str">
        <f t="shared" si="123"/>
        <v/>
      </c>
      <c r="L296" s="311"/>
      <c r="M296" s="216" t="str">
        <f t="shared" si="124"/>
        <v/>
      </c>
      <c r="N296" s="304"/>
      <c r="P296" s="156"/>
      <c r="Q296" s="156"/>
      <c r="R296" s="156"/>
      <c r="S296" s="156"/>
      <c r="T296" s="156"/>
    </row>
    <row r="297" spans="1:20">
      <c r="A297" s="1110"/>
      <c r="B297" s="1086"/>
      <c r="C297" s="1112"/>
      <c r="D297" s="306"/>
      <c r="E297" s="306"/>
      <c r="F297" s="307"/>
      <c r="G297" s="307"/>
      <c r="H297" s="308">
        <f t="shared" si="120"/>
        <v>44878</v>
      </c>
      <c r="I297" s="308">
        <f t="shared" si="121"/>
        <v>0</v>
      </c>
      <c r="J297" s="320" t="str">
        <f t="shared" si="122"/>
        <v/>
      </c>
      <c r="K297" s="321" t="str">
        <f t="shared" si="123"/>
        <v/>
      </c>
      <c r="L297" s="311"/>
      <c r="M297" s="216" t="str">
        <f t="shared" si="124"/>
        <v/>
      </c>
      <c r="N297" s="304"/>
      <c r="P297" s="156"/>
      <c r="Q297" s="156"/>
      <c r="R297" s="156"/>
      <c r="S297" s="156"/>
      <c r="T297" s="156"/>
    </row>
    <row r="298" spans="1:20">
      <c r="A298" s="1110"/>
      <c r="B298" s="1086"/>
      <c r="C298" s="1112"/>
      <c r="D298" s="306"/>
      <c r="E298" s="306"/>
      <c r="F298" s="307"/>
      <c r="G298" s="307"/>
      <c r="H298" s="308">
        <f t="shared" si="120"/>
        <v>44878</v>
      </c>
      <c r="I298" s="308">
        <f t="shared" si="121"/>
        <v>0</v>
      </c>
      <c r="J298" s="320" t="str">
        <f t="shared" si="122"/>
        <v/>
      </c>
      <c r="K298" s="321" t="str">
        <f t="shared" si="123"/>
        <v/>
      </c>
      <c r="L298" s="311"/>
      <c r="M298" s="216" t="str">
        <f t="shared" si="124"/>
        <v/>
      </c>
      <c r="N298" s="316"/>
      <c r="P298" s="156"/>
      <c r="Q298" s="156"/>
      <c r="R298" s="156"/>
      <c r="S298" s="156"/>
      <c r="T298" s="156"/>
    </row>
    <row r="299" spans="1:20">
      <c r="A299" s="1110"/>
      <c r="B299" s="1086"/>
      <c r="C299" s="1098" t="s">
        <v>353</v>
      </c>
      <c r="D299" s="1098"/>
      <c r="E299" s="1098"/>
      <c r="F299" s="1098"/>
      <c r="G299" s="1098"/>
      <c r="H299" s="1098"/>
      <c r="I299" s="1098"/>
      <c r="J299" s="1098"/>
      <c r="K299" s="1098"/>
      <c r="L299" s="1098"/>
      <c r="M299" s="325">
        <f>SUM(M279:M298)</f>
        <v>0</v>
      </c>
      <c r="N299" s="316"/>
      <c r="P299" s="156"/>
      <c r="Q299" s="156"/>
      <c r="R299" s="156"/>
      <c r="S299" s="156"/>
      <c r="T299" s="156"/>
    </row>
    <row r="300" spans="1:20">
      <c r="A300" s="1110"/>
      <c r="B300" s="1086"/>
      <c r="C300" s="1105" t="s">
        <v>354</v>
      </c>
      <c r="D300" s="306"/>
      <c r="E300" s="306"/>
      <c r="F300" s="307"/>
      <c r="G300" s="307"/>
      <c r="H300" s="308">
        <f t="shared" ref="H300:H319" si="125">IF(F300&lt;=$I$6,$I$6,F300)</f>
        <v>44878</v>
      </c>
      <c r="I300" s="308">
        <f t="shared" ref="I300:I319" si="126">IF(G300&lt;=$I$7,G300,$I$7)</f>
        <v>0</v>
      </c>
      <c r="J300" s="320" t="str">
        <f t="shared" ref="J300:J319" si="127">IF(F300="","",G300-F300+1)</f>
        <v/>
      </c>
      <c r="K300" s="321" t="str">
        <f t="shared" ref="K300:K319" si="128">IF(F300="","",I300-H300+1)</f>
        <v/>
      </c>
      <c r="L300" s="311"/>
      <c r="M300" s="216" t="str">
        <f t="shared" ref="M300:M319" si="129">IF(F300="","",L300*K300/J300)</f>
        <v/>
      </c>
      <c r="N300" s="316"/>
      <c r="P300" s="156"/>
      <c r="Q300" s="156"/>
      <c r="R300" s="156"/>
      <c r="S300" s="156"/>
      <c r="T300" s="156"/>
    </row>
    <row r="301" spans="1:20">
      <c r="A301" s="1110"/>
      <c r="B301" s="1086"/>
      <c r="C301" s="1095"/>
      <c r="D301" s="306"/>
      <c r="E301" s="306"/>
      <c r="F301" s="307"/>
      <c r="G301" s="307"/>
      <c r="H301" s="308">
        <f t="shared" si="125"/>
        <v>44878</v>
      </c>
      <c r="I301" s="308">
        <f t="shared" si="126"/>
        <v>0</v>
      </c>
      <c r="J301" s="320" t="str">
        <f t="shared" si="127"/>
        <v/>
      </c>
      <c r="K301" s="321" t="str">
        <f t="shared" si="128"/>
        <v/>
      </c>
      <c r="L301" s="311"/>
      <c r="M301" s="216" t="str">
        <f t="shared" si="129"/>
        <v/>
      </c>
      <c r="N301" s="316"/>
      <c r="P301" s="156"/>
      <c r="Q301" s="156"/>
      <c r="R301" s="156"/>
      <c r="S301" s="156"/>
      <c r="T301" s="156"/>
    </row>
    <row r="302" spans="1:20">
      <c r="A302" s="1110"/>
      <c r="B302" s="1086"/>
      <c r="C302" s="1095"/>
      <c r="D302" s="306"/>
      <c r="E302" s="306"/>
      <c r="F302" s="307"/>
      <c r="G302" s="307"/>
      <c r="H302" s="308">
        <f t="shared" si="125"/>
        <v>44878</v>
      </c>
      <c r="I302" s="308">
        <f t="shared" si="126"/>
        <v>0</v>
      </c>
      <c r="J302" s="320" t="str">
        <f t="shared" si="127"/>
        <v/>
      </c>
      <c r="K302" s="321" t="str">
        <f t="shared" si="128"/>
        <v/>
      </c>
      <c r="L302" s="311"/>
      <c r="M302" s="216" t="str">
        <f t="shared" si="129"/>
        <v/>
      </c>
      <c r="N302" s="316"/>
      <c r="P302" s="156"/>
      <c r="Q302" s="156"/>
      <c r="R302" s="156"/>
      <c r="S302" s="156"/>
      <c r="T302" s="156"/>
    </row>
    <row r="303" spans="1:20">
      <c r="A303" s="1110"/>
      <c r="B303" s="1086"/>
      <c r="C303" s="1095"/>
      <c r="D303" s="306"/>
      <c r="E303" s="306"/>
      <c r="F303" s="307"/>
      <c r="G303" s="307"/>
      <c r="H303" s="308">
        <f t="shared" si="125"/>
        <v>44878</v>
      </c>
      <c r="I303" s="308">
        <f t="shared" si="126"/>
        <v>0</v>
      </c>
      <c r="J303" s="320" t="str">
        <f t="shared" si="127"/>
        <v/>
      </c>
      <c r="K303" s="321" t="str">
        <f t="shared" si="128"/>
        <v/>
      </c>
      <c r="L303" s="311"/>
      <c r="M303" s="216" t="str">
        <f t="shared" si="129"/>
        <v/>
      </c>
      <c r="N303" s="316"/>
      <c r="P303" s="156"/>
      <c r="Q303" s="156"/>
      <c r="R303" s="156"/>
      <c r="S303" s="156"/>
      <c r="T303" s="156"/>
    </row>
    <row r="304" spans="1:20">
      <c r="A304" s="1110"/>
      <c r="B304" s="1086"/>
      <c r="C304" s="1095"/>
      <c r="D304" s="306"/>
      <c r="E304" s="306"/>
      <c r="F304" s="307"/>
      <c r="G304" s="307"/>
      <c r="H304" s="308">
        <f t="shared" si="125"/>
        <v>44878</v>
      </c>
      <c r="I304" s="308">
        <f t="shared" si="126"/>
        <v>0</v>
      </c>
      <c r="J304" s="320" t="str">
        <f t="shared" si="127"/>
        <v/>
      </c>
      <c r="K304" s="321" t="str">
        <f t="shared" si="128"/>
        <v/>
      </c>
      <c r="L304" s="311"/>
      <c r="M304" s="216" t="str">
        <f t="shared" si="129"/>
        <v/>
      </c>
      <c r="N304" s="316"/>
      <c r="P304" s="156"/>
      <c r="Q304" s="156"/>
      <c r="R304" s="156"/>
      <c r="S304" s="156"/>
      <c r="T304" s="156"/>
    </row>
    <row r="305" spans="1:20">
      <c r="A305" s="1110"/>
      <c r="B305" s="1086"/>
      <c r="C305" s="1095"/>
      <c r="D305" s="306"/>
      <c r="E305" s="306"/>
      <c r="F305" s="307"/>
      <c r="G305" s="307"/>
      <c r="H305" s="308">
        <f t="shared" si="125"/>
        <v>44878</v>
      </c>
      <c r="I305" s="308">
        <f t="shared" si="126"/>
        <v>0</v>
      </c>
      <c r="J305" s="320" t="str">
        <f t="shared" si="127"/>
        <v/>
      </c>
      <c r="K305" s="321" t="str">
        <f t="shared" si="128"/>
        <v/>
      </c>
      <c r="L305" s="311"/>
      <c r="M305" s="216" t="str">
        <f t="shared" si="129"/>
        <v/>
      </c>
      <c r="N305" s="316"/>
      <c r="P305" s="156"/>
      <c r="Q305" s="156"/>
      <c r="R305" s="156"/>
      <c r="S305" s="156"/>
      <c r="T305" s="156"/>
    </row>
    <row r="306" spans="1:20">
      <c r="A306" s="1110"/>
      <c r="B306" s="1086"/>
      <c r="C306" s="1095"/>
      <c r="D306" s="306"/>
      <c r="E306" s="306"/>
      <c r="F306" s="307"/>
      <c r="G306" s="307"/>
      <c r="H306" s="308">
        <f t="shared" si="125"/>
        <v>44878</v>
      </c>
      <c r="I306" s="308">
        <f t="shared" si="126"/>
        <v>0</v>
      </c>
      <c r="J306" s="320" t="str">
        <f t="shared" si="127"/>
        <v/>
      </c>
      <c r="K306" s="321" t="str">
        <f t="shared" si="128"/>
        <v/>
      </c>
      <c r="L306" s="311"/>
      <c r="M306" s="216" t="str">
        <f t="shared" si="129"/>
        <v/>
      </c>
      <c r="N306" s="316"/>
      <c r="P306" s="156"/>
      <c r="Q306" s="156"/>
      <c r="R306" s="156"/>
      <c r="S306" s="156"/>
      <c r="T306" s="156"/>
    </row>
    <row r="307" spans="1:20">
      <c r="A307" s="1110"/>
      <c r="B307" s="1086"/>
      <c r="C307" s="1095"/>
      <c r="D307" s="306"/>
      <c r="E307" s="306"/>
      <c r="F307" s="307"/>
      <c r="G307" s="307"/>
      <c r="H307" s="308">
        <f t="shared" si="125"/>
        <v>44878</v>
      </c>
      <c r="I307" s="308">
        <f t="shared" si="126"/>
        <v>0</v>
      </c>
      <c r="J307" s="320" t="str">
        <f t="shared" si="127"/>
        <v/>
      </c>
      <c r="K307" s="321" t="str">
        <f t="shared" si="128"/>
        <v/>
      </c>
      <c r="L307" s="311"/>
      <c r="M307" s="216" t="str">
        <f t="shared" si="129"/>
        <v/>
      </c>
      <c r="N307" s="316"/>
      <c r="P307" s="156"/>
      <c r="Q307" s="156"/>
      <c r="R307" s="156"/>
      <c r="S307" s="156"/>
      <c r="T307" s="156"/>
    </row>
    <row r="308" spans="1:20">
      <c r="A308" s="1110"/>
      <c r="B308" s="1086"/>
      <c r="C308" s="1095"/>
      <c r="D308" s="306"/>
      <c r="E308" s="306"/>
      <c r="F308" s="307"/>
      <c r="G308" s="307"/>
      <c r="H308" s="308">
        <f t="shared" si="125"/>
        <v>44878</v>
      </c>
      <c r="I308" s="308">
        <f t="shared" si="126"/>
        <v>0</v>
      </c>
      <c r="J308" s="320" t="str">
        <f t="shared" si="127"/>
        <v/>
      </c>
      <c r="K308" s="321" t="str">
        <f t="shared" si="128"/>
        <v/>
      </c>
      <c r="L308" s="311"/>
      <c r="M308" s="216" t="str">
        <f t="shared" si="129"/>
        <v/>
      </c>
      <c r="N308" s="316"/>
      <c r="P308" s="156"/>
      <c r="Q308" s="156"/>
      <c r="R308" s="156"/>
      <c r="S308" s="156"/>
      <c r="T308" s="156"/>
    </row>
    <row r="309" spans="1:20">
      <c r="A309" s="1110"/>
      <c r="B309" s="1086"/>
      <c r="C309" s="1095"/>
      <c r="D309" s="306"/>
      <c r="E309" s="306"/>
      <c r="F309" s="307"/>
      <c r="G309" s="307"/>
      <c r="H309" s="308">
        <f t="shared" si="125"/>
        <v>44878</v>
      </c>
      <c r="I309" s="308">
        <f t="shared" si="126"/>
        <v>0</v>
      </c>
      <c r="J309" s="320" t="str">
        <f t="shared" si="127"/>
        <v/>
      </c>
      <c r="K309" s="321" t="str">
        <f t="shared" si="128"/>
        <v/>
      </c>
      <c r="L309" s="311"/>
      <c r="M309" s="216" t="str">
        <f t="shared" si="129"/>
        <v/>
      </c>
      <c r="N309" s="316"/>
      <c r="P309" s="156"/>
      <c r="Q309" s="156"/>
      <c r="R309" s="156"/>
      <c r="S309" s="156"/>
      <c r="T309" s="156"/>
    </row>
    <row r="310" spans="1:20">
      <c r="A310" s="1110"/>
      <c r="B310" s="1086"/>
      <c r="C310" s="1095"/>
      <c r="D310" s="306"/>
      <c r="E310" s="306"/>
      <c r="F310" s="307"/>
      <c r="G310" s="307"/>
      <c r="H310" s="308">
        <f t="shared" si="125"/>
        <v>44878</v>
      </c>
      <c r="I310" s="308">
        <f t="shared" si="126"/>
        <v>0</v>
      </c>
      <c r="J310" s="320" t="str">
        <f t="shared" si="127"/>
        <v/>
      </c>
      <c r="K310" s="321" t="str">
        <f t="shared" si="128"/>
        <v/>
      </c>
      <c r="L310" s="311"/>
      <c r="M310" s="216" t="str">
        <f t="shared" si="129"/>
        <v/>
      </c>
      <c r="N310" s="316"/>
      <c r="P310" s="156"/>
      <c r="Q310" s="156"/>
      <c r="R310" s="156"/>
      <c r="S310" s="156"/>
      <c r="T310" s="156"/>
    </row>
    <row r="311" spans="1:20">
      <c r="A311" s="1110"/>
      <c r="B311" s="1086"/>
      <c r="C311" s="1095"/>
      <c r="D311" s="306"/>
      <c r="E311" s="306"/>
      <c r="F311" s="307"/>
      <c r="G311" s="307"/>
      <c r="H311" s="308">
        <f t="shared" si="125"/>
        <v>44878</v>
      </c>
      <c r="I311" s="308">
        <f t="shared" si="126"/>
        <v>0</v>
      </c>
      <c r="J311" s="320" t="str">
        <f t="shared" si="127"/>
        <v/>
      </c>
      <c r="K311" s="321" t="str">
        <f t="shared" si="128"/>
        <v/>
      </c>
      <c r="L311" s="311"/>
      <c r="M311" s="216" t="str">
        <f t="shared" si="129"/>
        <v/>
      </c>
      <c r="N311" s="316"/>
      <c r="P311" s="156"/>
      <c r="Q311" s="156"/>
      <c r="R311" s="156"/>
      <c r="S311" s="156"/>
      <c r="T311" s="156"/>
    </row>
    <row r="312" spans="1:20">
      <c r="A312" s="1110"/>
      <c r="B312" s="1086"/>
      <c r="C312" s="1095"/>
      <c r="D312" s="306"/>
      <c r="E312" s="306"/>
      <c r="F312" s="307"/>
      <c r="G312" s="307"/>
      <c r="H312" s="308">
        <f t="shared" si="125"/>
        <v>44878</v>
      </c>
      <c r="I312" s="308">
        <f t="shared" si="126"/>
        <v>0</v>
      </c>
      <c r="J312" s="320" t="str">
        <f t="shared" si="127"/>
        <v/>
      </c>
      <c r="K312" s="321" t="str">
        <f t="shared" si="128"/>
        <v/>
      </c>
      <c r="L312" s="311"/>
      <c r="M312" s="216" t="str">
        <f t="shared" si="129"/>
        <v/>
      </c>
      <c r="N312" s="316"/>
      <c r="P312" s="156"/>
      <c r="Q312" s="156"/>
      <c r="R312" s="156"/>
      <c r="S312" s="156"/>
      <c r="T312" s="156"/>
    </row>
    <row r="313" spans="1:20">
      <c r="A313" s="1110"/>
      <c r="B313" s="1086"/>
      <c r="C313" s="1095"/>
      <c r="D313" s="306"/>
      <c r="E313" s="306"/>
      <c r="F313" s="307"/>
      <c r="G313" s="307"/>
      <c r="H313" s="308">
        <f t="shared" si="125"/>
        <v>44878</v>
      </c>
      <c r="I313" s="308">
        <f t="shared" si="126"/>
        <v>0</v>
      </c>
      <c r="J313" s="320" t="str">
        <f t="shared" si="127"/>
        <v/>
      </c>
      <c r="K313" s="321" t="str">
        <f t="shared" si="128"/>
        <v/>
      </c>
      <c r="L313" s="311"/>
      <c r="M313" s="216" t="str">
        <f t="shared" si="129"/>
        <v/>
      </c>
      <c r="N313" s="316"/>
      <c r="P313" s="156"/>
      <c r="Q313" s="156"/>
      <c r="R313" s="156"/>
      <c r="S313" s="156"/>
      <c r="T313" s="156"/>
    </row>
    <row r="314" spans="1:20">
      <c r="A314" s="1110"/>
      <c r="B314" s="1086"/>
      <c r="C314" s="1095"/>
      <c r="D314" s="306"/>
      <c r="E314" s="306"/>
      <c r="F314" s="307"/>
      <c r="G314" s="307"/>
      <c r="H314" s="308">
        <f t="shared" si="125"/>
        <v>44878</v>
      </c>
      <c r="I314" s="308">
        <f t="shared" si="126"/>
        <v>0</v>
      </c>
      <c r="J314" s="320" t="str">
        <f t="shared" si="127"/>
        <v/>
      </c>
      <c r="K314" s="321" t="str">
        <f t="shared" si="128"/>
        <v/>
      </c>
      <c r="L314" s="311"/>
      <c r="M314" s="216" t="str">
        <f t="shared" si="129"/>
        <v/>
      </c>
      <c r="N314" s="316"/>
      <c r="P314" s="156"/>
      <c r="Q314" s="156"/>
      <c r="R314" s="156"/>
      <c r="S314" s="156"/>
      <c r="T314" s="156"/>
    </row>
    <row r="315" spans="1:20">
      <c r="A315" s="1110"/>
      <c r="B315" s="1086"/>
      <c r="C315" s="1095"/>
      <c r="D315" s="306"/>
      <c r="E315" s="306"/>
      <c r="F315" s="307"/>
      <c r="G315" s="307"/>
      <c r="H315" s="308">
        <f t="shared" si="125"/>
        <v>44878</v>
      </c>
      <c r="I315" s="308">
        <f t="shared" si="126"/>
        <v>0</v>
      </c>
      <c r="J315" s="320" t="str">
        <f t="shared" si="127"/>
        <v/>
      </c>
      <c r="K315" s="321" t="str">
        <f t="shared" si="128"/>
        <v/>
      </c>
      <c r="L315" s="311"/>
      <c r="M315" s="216" t="str">
        <f t="shared" si="129"/>
        <v/>
      </c>
      <c r="N315" s="316"/>
      <c r="P315" s="156"/>
      <c r="Q315" s="156"/>
      <c r="R315" s="156"/>
      <c r="S315" s="156"/>
      <c r="T315" s="156"/>
    </row>
    <row r="316" spans="1:20">
      <c r="A316" s="1110"/>
      <c r="B316" s="1086"/>
      <c r="C316" s="1095"/>
      <c r="D316" s="306"/>
      <c r="E316" s="306"/>
      <c r="F316" s="307"/>
      <c r="G316" s="307"/>
      <c r="H316" s="308">
        <f t="shared" si="125"/>
        <v>44878</v>
      </c>
      <c r="I316" s="308">
        <f t="shared" si="126"/>
        <v>0</v>
      </c>
      <c r="J316" s="320" t="str">
        <f t="shared" si="127"/>
        <v/>
      </c>
      <c r="K316" s="321" t="str">
        <f t="shared" si="128"/>
        <v/>
      </c>
      <c r="L316" s="311"/>
      <c r="M316" s="216" t="str">
        <f t="shared" si="129"/>
        <v/>
      </c>
      <c r="N316" s="316"/>
      <c r="P316" s="156"/>
      <c r="Q316" s="156"/>
      <c r="R316" s="156"/>
      <c r="S316" s="156"/>
      <c r="T316" s="156"/>
    </row>
    <row r="317" spans="1:20">
      <c r="A317" s="1110"/>
      <c r="B317" s="1086"/>
      <c r="C317" s="1095"/>
      <c r="D317" s="306"/>
      <c r="E317" s="306"/>
      <c r="F317" s="307"/>
      <c r="G317" s="307"/>
      <c r="H317" s="308">
        <f t="shared" si="125"/>
        <v>44878</v>
      </c>
      <c r="I317" s="308">
        <f t="shared" si="126"/>
        <v>0</v>
      </c>
      <c r="J317" s="320" t="str">
        <f t="shared" si="127"/>
        <v/>
      </c>
      <c r="K317" s="321" t="str">
        <f t="shared" si="128"/>
        <v/>
      </c>
      <c r="L317" s="311"/>
      <c r="M317" s="216" t="str">
        <f t="shared" si="129"/>
        <v/>
      </c>
      <c r="N317" s="316"/>
      <c r="P317" s="156"/>
      <c r="Q317" s="156"/>
      <c r="R317" s="156"/>
      <c r="S317" s="156"/>
      <c r="T317" s="156"/>
    </row>
    <row r="318" spans="1:20">
      <c r="A318" s="1110"/>
      <c r="B318" s="1086"/>
      <c r="C318" s="1095"/>
      <c r="D318" s="306"/>
      <c r="E318" s="306"/>
      <c r="F318" s="307"/>
      <c r="G318" s="307"/>
      <c r="H318" s="308">
        <f t="shared" si="125"/>
        <v>44878</v>
      </c>
      <c r="I318" s="308">
        <f t="shared" si="126"/>
        <v>0</v>
      </c>
      <c r="J318" s="320" t="str">
        <f t="shared" si="127"/>
        <v/>
      </c>
      <c r="K318" s="321" t="str">
        <f t="shared" si="128"/>
        <v/>
      </c>
      <c r="L318" s="311"/>
      <c r="M318" s="216" t="str">
        <f t="shared" si="129"/>
        <v/>
      </c>
      <c r="N318" s="316"/>
      <c r="P318" s="156"/>
      <c r="Q318" s="156"/>
      <c r="R318" s="156"/>
      <c r="S318" s="156"/>
      <c r="T318" s="156"/>
    </row>
    <row r="319" spans="1:20">
      <c r="A319" s="1110"/>
      <c r="B319" s="1086"/>
      <c r="C319" s="1095"/>
      <c r="D319" s="306"/>
      <c r="E319" s="306"/>
      <c r="F319" s="307"/>
      <c r="G319" s="307"/>
      <c r="H319" s="308">
        <f t="shared" si="125"/>
        <v>44878</v>
      </c>
      <c r="I319" s="308">
        <f t="shared" si="126"/>
        <v>0</v>
      </c>
      <c r="J319" s="320" t="str">
        <f t="shared" si="127"/>
        <v/>
      </c>
      <c r="K319" s="321" t="str">
        <f t="shared" si="128"/>
        <v/>
      </c>
      <c r="L319" s="311"/>
      <c r="M319" s="216" t="str">
        <f t="shared" si="129"/>
        <v/>
      </c>
      <c r="N319" s="316"/>
      <c r="P319" s="156"/>
      <c r="Q319" s="156"/>
      <c r="R319" s="156"/>
      <c r="S319" s="156"/>
      <c r="T319" s="156"/>
    </row>
    <row r="320" spans="1:20">
      <c r="A320" s="1110"/>
      <c r="B320" s="1087"/>
      <c r="C320" s="1104" t="s">
        <v>353</v>
      </c>
      <c r="D320" s="1104"/>
      <c r="E320" s="1104"/>
      <c r="F320" s="1104"/>
      <c r="G320" s="1104"/>
      <c r="H320" s="1104"/>
      <c r="I320" s="1104"/>
      <c r="J320" s="1104"/>
      <c r="K320" s="1104"/>
      <c r="L320" s="1104"/>
      <c r="M320" s="326">
        <f>SUM(M300:M319)*0.7</f>
        <v>0</v>
      </c>
      <c r="N320" s="316"/>
      <c r="P320" s="156"/>
      <c r="Q320" s="156"/>
      <c r="R320" s="156"/>
      <c r="S320" s="156"/>
      <c r="T320" s="156"/>
    </row>
    <row r="322" spans="1:20" ht="17.25">
      <c r="A322" s="1091" t="str">
        <f>A94</f>
        <v>건설사업관리
용역업자회사명</v>
      </c>
      <c r="B322" s="1095" t="s">
        <v>355</v>
      </c>
      <c r="C322" s="1095"/>
      <c r="D322" s="1095" t="s">
        <v>356</v>
      </c>
      <c r="E322" s="1095" t="s">
        <v>341</v>
      </c>
      <c r="F322" s="1113" t="s">
        <v>357</v>
      </c>
      <c r="G322" s="1113"/>
      <c r="H322" s="1113" t="s">
        <v>145</v>
      </c>
      <c r="I322" s="1113"/>
      <c r="J322" s="1114" t="s">
        <v>344</v>
      </c>
      <c r="K322" s="1116" t="s">
        <v>358</v>
      </c>
      <c r="L322" s="1118" t="s">
        <v>359</v>
      </c>
      <c r="M322" s="1106" t="s">
        <v>360</v>
      </c>
      <c r="N322" s="1108" t="s">
        <v>156</v>
      </c>
      <c r="P322" s="156"/>
      <c r="Q322" s="156"/>
      <c r="R322" s="156"/>
      <c r="S322" s="156"/>
      <c r="T322" s="156"/>
    </row>
    <row r="323" spans="1:20">
      <c r="A323" s="1093"/>
      <c r="B323" s="1095"/>
      <c r="C323" s="1095"/>
      <c r="D323" s="1095"/>
      <c r="E323" s="1095"/>
      <c r="F323" s="304" t="s">
        <v>349</v>
      </c>
      <c r="G323" s="304" t="s">
        <v>361</v>
      </c>
      <c r="H323" s="304" t="s">
        <v>362</v>
      </c>
      <c r="I323" s="304" t="s">
        <v>153</v>
      </c>
      <c r="J323" s="1115"/>
      <c r="K323" s="1117"/>
      <c r="L323" s="1119"/>
      <c r="M323" s="1107"/>
      <c r="N323" s="1109"/>
      <c r="P323" s="156"/>
      <c r="Q323" s="156"/>
      <c r="R323" s="156"/>
      <c r="S323" s="156"/>
      <c r="T323" s="156"/>
    </row>
    <row r="324" spans="1:20">
      <c r="A324" s="1110" t="e">
        <f>#REF!</f>
        <v>#REF!</v>
      </c>
      <c r="B324" s="1085" t="s">
        <v>363</v>
      </c>
      <c r="C324" s="1111" t="s">
        <v>352</v>
      </c>
      <c r="D324" s="1096"/>
      <c r="E324" s="1096"/>
      <c r="F324" s="307"/>
      <c r="G324" s="307"/>
      <c r="H324" s="308">
        <f>IF(F324&lt;=$I$6,$I$6,F324)</f>
        <v>44878</v>
      </c>
      <c r="I324" s="308">
        <f>IF(G324&lt;=$I$7,G324,$I$7)</f>
        <v>0</v>
      </c>
      <c r="J324" s="320" t="str">
        <f>IF(F324="","",G324-F324+1)</f>
        <v/>
      </c>
      <c r="K324" s="321" t="str">
        <f>IF(F324="","",I324-H324+1)</f>
        <v/>
      </c>
      <c r="L324" s="311"/>
      <c r="M324" s="216" t="str">
        <f>IF(F324="","",L324*K324/J324)</f>
        <v/>
      </c>
      <c r="N324" s="1102"/>
      <c r="P324" s="156"/>
      <c r="Q324" s="156"/>
      <c r="R324" s="156"/>
      <c r="S324" s="156"/>
      <c r="T324" s="156"/>
    </row>
    <row r="325" spans="1:20">
      <c r="A325" s="1110"/>
      <c r="B325" s="1086"/>
      <c r="C325" s="1112"/>
      <c r="D325" s="1097"/>
      <c r="E325" s="1097"/>
      <c r="F325" s="1099"/>
      <c r="G325" s="1100"/>
      <c r="H325" s="1100"/>
      <c r="I325" s="1100"/>
      <c r="J325" s="1100"/>
      <c r="K325" s="1101"/>
      <c r="L325" s="311"/>
      <c r="M325" s="216">
        <f>L325</f>
        <v>0</v>
      </c>
      <c r="N325" s="1103"/>
      <c r="P325" s="156"/>
      <c r="Q325" s="156"/>
      <c r="R325" s="156"/>
      <c r="S325" s="156"/>
      <c r="T325" s="156"/>
    </row>
    <row r="326" spans="1:20">
      <c r="A326" s="1110"/>
      <c r="B326" s="1086"/>
      <c r="C326" s="1112"/>
      <c r="D326" s="1096"/>
      <c r="E326" s="1096"/>
      <c r="F326" s="307"/>
      <c r="G326" s="307"/>
      <c r="H326" s="308">
        <f>IF(F326&lt;=$I$6,$I$6,F326)</f>
        <v>44878</v>
      </c>
      <c r="I326" s="308">
        <f>IF(G326&lt;=$I$7,G326,$I$7)</f>
        <v>0</v>
      </c>
      <c r="J326" s="320" t="str">
        <f>IF(F326="","",G326-F326+1)</f>
        <v/>
      </c>
      <c r="K326" s="321" t="str">
        <f>IF(F326="","",I326-H326+1)</f>
        <v/>
      </c>
      <c r="L326" s="311"/>
      <c r="M326" s="216" t="str">
        <f>IF(F326="","",L326*K326/J326)</f>
        <v/>
      </c>
      <c r="N326" s="1102"/>
      <c r="P326" s="156"/>
      <c r="Q326" s="156"/>
      <c r="R326" s="156"/>
      <c r="S326" s="156"/>
      <c r="T326" s="156"/>
    </row>
    <row r="327" spans="1:20">
      <c r="A327" s="1110"/>
      <c r="B327" s="1086"/>
      <c r="C327" s="1112"/>
      <c r="D327" s="1097"/>
      <c r="E327" s="1097"/>
      <c r="F327" s="1099"/>
      <c r="G327" s="1100"/>
      <c r="H327" s="1100"/>
      <c r="I327" s="1100"/>
      <c r="J327" s="1100"/>
      <c r="K327" s="1101"/>
      <c r="L327" s="311"/>
      <c r="M327" s="216">
        <f>L327</f>
        <v>0</v>
      </c>
      <c r="N327" s="1103"/>
      <c r="P327" s="156"/>
      <c r="Q327" s="156"/>
      <c r="R327" s="156"/>
      <c r="S327" s="156"/>
      <c r="T327" s="156"/>
    </row>
    <row r="328" spans="1:20">
      <c r="A328" s="1110"/>
      <c r="B328" s="1086"/>
      <c r="C328" s="1112"/>
      <c r="D328" s="1096"/>
      <c r="E328" s="1096"/>
      <c r="F328" s="307"/>
      <c r="G328" s="307"/>
      <c r="H328" s="308">
        <f>IF(F328&lt;=$I$6,$I$6,F328)</f>
        <v>44878</v>
      </c>
      <c r="I328" s="308">
        <f>IF(G328&lt;=$I$7,G328,$I$7)</f>
        <v>0</v>
      </c>
      <c r="J328" s="320" t="str">
        <f>IF(F328="","",G328-F328+1)</f>
        <v/>
      </c>
      <c r="K328" s="321" t="str">
        <f>IF(F328="","",I328-H328+1)</f>
        <v/>
      </c>
      <c r="L328" s="311"/>
      <c r="M328" s="216" t="str">
        <f>IF(F328="","",L328*K328/J328)</f>
        <v/>
      </c>
      <c r="N328" s="1102"/>
      <c r="P328" s="156"/>
      <c r="Q328" s="156"/>
      <c r="R328" s="156"/>
      <c r="S328" s="156"/>
      <c r="T328" s="156"/>
    </row>
    <row r="329" spans="1:20">
      <c r="A329" s="1110"/>
      <c r="B329" s="1086"/>
      <c r="C329" s="1112"/>
      <c r="D329" s="1097"/>
      <c r="E329" s="1097"/>
      <c r="F329" s="1099"/>
      <c r="G329" s="1100"/>
      <c r="H329" s="1100"/>
      <c r="I329" s="1100"/>
      <c r="J329" s="1100"/>
      <c r="K329" s="1101"/>
      <c r="L329" s="311"/>
      <c r="M329" s="216">
        <f>L329</f>
        <v>0</v>
      </c>
      <c r="N329" s="1103"/>
      <c r="P329" s="156"/>
      <c r="Q329" s="156"/>
      <c r="R329" s="156"/>
      <c r="S329" s="156"/>
      <c r="T329" s="156"/>
    </row>
    <row r="330" spans="1:20">
      <c r="A330" s="1110"/>
      <c r="B330" s="1086"/>
      <c r="C330" s="1112"/>
      <c r="D330" s="1096"/>
      <c r="E330" s="1096"/>
      <c r="F330" s="307"/>
      <c r="G330" s="307"/>
      <c r="H330" s="308">
        <f>IF(F330&lt;=$I$6,$I$6,F330)</f>
        <v>44878</v>
      </c>
      <c r="I330" s="308">
        <f>IF(G330&lt;=$I$7,G330,$I$7)</f>
        <v>0</v>
      </c>
      <c r="J330" s="320" t="str">
        <f>IF(F330="","",G330-F330+1)</f>
        <v/>
      </c>
      <c r="K330" s="321" t="str">
        <f>IF(F330="","",I330-H330+1)</f>
        <v/>
      </c>
      <c r="L330" s="311"/>
      <c r="M330" s="216" t="str">
        <f>IF(F330="","",L330*K330/J330)</f>
        <v/>
      </c>
      <c r="N330" s="1102"/>
      <c r="P330" s="156"/>
      <c r="Q330" s="156"/>
      <c r="R330" s="156"/>
      <c r="S330" s="156"/>
      <c r="T330" s="156"/>
    </row>
    <row r="331" spans="1:20">
      <c r="A331" s="1110"/>
      <c r="B331" s="1086"/>
      <c r="C331" s="1112"/>
      <c r="D331" s="1097"/>
      <c r="E331" s="1097"/>
      <c r="F331" s="1099"/>
      <c r="G331" s="1100"/>
      <c r="H331" s="1100"/>
      <c r="I331" s="1100"/>
      <c r="J331" s="1100"/>
      <c r="K331" s="1101"/>
      <c r="L331" s="311"/>
      <c r="M331" s="216">
        <f>L331</f>
        <v>0</v>
      </c>
      <c r="N331" s="1103"/>
      <c r="P331" s="156"/>
      <c r="Q331" s="156"/>
      <c r="R331" s="156"/>
      <c r="S331" s="156"/>
      <c r="T331" s="156"/>
    </row>
    <row r="332" spans="1:20">
      <c r="A332" s="1110"/>
      <c r="B332" s="1086"/>
      <c r="C332" s="1112"/>
      <c r="D332" s="1096"/>
      <c r="E332" s="1096"/>
      <c r="F332" s="307"/>
      <c r="G332" s="307"/>
      <c r="H332" s="308">
        <f>IF(F332&lt;=$I$6,$I$6,F332)</f>
        <v>44878</v>
      </c>
      <c r="I332" s="308">
        <f>IF(G332&lt;=$I$7,G332,$I$7)</f>
        <v>0</v>
      </c>
      <c r="J332" s="320" t="str">
        <f>IF(F332="","",G332-F332+1)</f>
        <v/>
      </c>
      <c r="K332" s="321" t="str">
        <f>IF(F332="","",I332-H332+1)</f>
        <v/>
      </c>
      <c r="L332" s="311"/>
      <c r="M332" s="216" t="str">
        <f>IF(F332="","",L332*K332/J332)</f>
        <v/>
      </c>
      <c r="N332" s="1102"/>
      <c r="P332" s="156"/>
      <c r="Q332" s="156"/>
      <c r="R332" s="156"/>
      <c r="S332" s="156"/>
      <c r="T332" s="156"/>
    </row>
    <row r="333" spans="1:20">
      <c r="A333" s="1110"/>
      <c r="B333" s="1086"/>
      <c r="C333" s="1112"/>
      <c r="D333" s="1097"/>
      <c r="E333" s="1097"/>
      <c r="F333" s="1099"/>
      <c r="G333" s="1100"/>
      <c r="H333" s="1100"/>
      <c r="I333" s="1100"/>
      <c r="J333" s="1100"/>
      <c r="K333" s="1101"/>
      <c r="L333" s="311"/>
      <c r="M333" s="216">
        <f>L333</f>
        <v>0</v>
      </c>
      <c r="N333" s="1103"/>
      <c r="P333" s="156"/>
      <c r="Q333" s="156"/>
      <c r="R333" s="156"/>
      <c r="S333" s="156"/>
      <c r="T333" s="156"/>
    </row>
    <row r="334" spans="1:20">
      <c r="A334" s="1110"/>
      <c r="B334" s="1086"/>
      <c r="C334" s="1112"/>
      <c r="D334" s="1096"/>
      <c r="E334" s="1096"/>
      <c r="F334" s="307"/>
      <c r="G334" s="307"/>
      <c r="H334" s="308">
        <f>IF(F334&lt;=$I$6,$I$6,F334)</f>
        <v>44878</v>
      </c>
      <c r="I334" s="308">
        <f>IF(G334&lt;=$I$7,G334,$I$7)</f>
        <v>0</v>
      </c>
      <c r="J334" s="320" t="str">
        <f>IF(F334="","",G334-F334+1)</f>
        <v/>
      </c>
      <c r="K334" s="321" t="str">
        <f>IF(F334="","",I334-H334+1)</f>
        <v/>
      </c>
      <c r="L334" s="311"/>
      <c r="M334" s="216" t="str">
        <f>IF(F334="","",L334*K334/J334)</f>
        <v/>
      </c>
      <c r="N334" s="1102"/>
      <c r="P334" s="156"/>
      <c r="Q334" s="156"/>
      <c r="R334" s="156"/>
      <c r="S334" s="156"/>
      <c r="T334" s="156"/>
    </row>
    <row r="335" spans="1:20">
      <c r="A335" s="1110"/>
      <c r="B335" s="1086"/>
      <c r="C335" s="1112"/>
      <c r="D335" s="1097"/>
      <c r="E335" s="1097"/>
      <c r="F335" s="1099"/>
      <c r="G335" s="1100"/>
      <c r="H335" s="1100"/>
      <c r="I335" s="1100"/>
      <c r="J335" s="1100"/>
      <c r="K335" s="1101"/>
      <c r="L335" s="311"/>
      <c r="M335" s="216">
        <f>L335</f>
        <v>0</v>
      </c>
      <c r="N335" s="1103"/>
      <c r="P335" s="156"/>
      <c r="Q335" s="156"/>
      <c r="R335" s="156"/>
      <c r="S335" s="156"/>
      <c r="T335" s="156"/>
    </row>
    <row r="336" spans="1:20">
      <c r="A336" s="1110"/>
      <c r="B336" s="1086"/>
      <c r="C336" s="1112"/>
      <c r="D336" s="1096"/>
      <c r="E336" s="1096"/>
      <c r="F336" s="307"/>
      <c r="G336" s="307"/>
      <c r="H336" s="308">
        <f>IF(F336&lt;=$I$6,$I$6,F336)</f>
        <v>44878</v>
      </c>
      <c r="I336" s="308">
        <f>IF(G336&lt;=$I$7,G336,$I$7)</f>
        <v>0</v>
      </c>
      <c r="J336" s="320" t="str">
        <f>IF(F336="","",G336-F336+1)</f>
        <v/>
      </c>
      <c r="K336" s="321" t="str">
        <f>IF(F336="","",I336-H336+1)</f>
        <v/>
      </c>
      <c r="L336" s="311"/>
      <c r="M336" s="216" t="str">
        <f>IF(F336="","",L336*K336/J336)</f>
        <v/>
      </c>
      <c r="N336" s="1102"/>
      <c r="P336" s="156"/>
      <c r="Q336" s="156"/>
      <c r="R336" s="156"/>
      <c r="S336" s="156"/>
      <c r="T336" s="156"/>
    </row>
    <row r="337" spans="1:20">
      <c r="A337" s="1110"/>
      <c r="B337" s="1086"/>
      <c r="C337" s="1112"/>
      <c r="D337" s="1097"/>
      <c r="E337" s="1097"/>
      <c r="F337" s="1099"/>
      <c r="G337" s="1100"/>
      <c r="H337" s="1100"/>
      <c r="I337" s="1100"/>
      <c r="J337" s="1100"/>
      <c r="K337" s="1101"/>
      <c r="L337" s="311"/>
      <c r="M337" s="216">
        <f>L337</f>
        <v>0</v>
      </c>
      <c r="N337" s="1103"/>
      <c r="P337" s="156"/>
      <c r="Q337" s="156"/>
      <c r="R337" s="156"/>
      <c r="S337" s="156"/>
      <c r="T337" s="156"/>
    </row>
    <row r="338" spans="1:20">
      <c r="A338" s="1110"/>
      <c r="B338" s="1086"/>
      <c r="C338" s="1112"/>
      <c r="D338" s="1096"/>
      <c r="E338" s="1096"/>
      <c r="F338" s="307"/>
      <c r="G338" s="307"/>
      <c r="H338" s="308">
        <f>IF(F338&lt;=$I$6,$I$6,F338)</f>
        <v>44878</v>
      </c>
      <c r="I338" s="308">
        <f>IF(G338&lt;=$I$7,G338,$I$7)</f>
        <v>0</v>
      </c>
      <c r="J338" s="320" t="str">
        <f>IF(F338="","",G338-F338+1)</f>
        <v/>
      </c>
      <c r="K338" s="321" t="str">
        <f>IF(F338="","",I338-H338+1)</f>
        <v/>
      </c>
      <c r="L338" s="311"/>
      <c r="M338" s="216" t="str">
        <f>IF(F338="","",L338*K338/J338)</f>
        <v/>
      </c>
      <c r="N338" s="1102"/>
      <c r="P338" s="156"/>
      <c r="Q338" s="156"/>
      <c r="R338" s="156"/>
      <c r="S338" s="156"/>
      <c r="T338" s="156"/>
    </row>
    <row r="339" spans="1:20">
      <c r="A339" s="1110"/>
      <c r="B339" s="1086"/>
      <c r="C339" s="1112"/>
      <c r="D339" s="1097"/>
      <c r="E339" s="1097"/>
      <c r="F339" s="1099"/>
      <c r="G339" s="1100"/>
      <c r="H339" s="1100"/>
      <c r="I339" s="1100"/>
      <c r="J339" s="1100"/>
      <c r="K339" s="1101"/>
      <c r="L339" s="311"/>
      <c r="M339" s="216">
        <f>L339</f>
        <v>0</v>
      </c>
      <c r="N339" s="1103"/>
      <c r="P339" s="156"/>
      <c r="Q339" s="156"/>
      <c r="R339" s="156"/>
      <c r="S339" s="156"/>
      <c r="T339" s="156"/>
    </row>
    <row r="340" spans="1:20">
      <c r="A340" s="1110"/>
      <c r="B340" s="1086"/>
      <c r="C340" s="1112"/>
      <c r="D340" s="1096"/>
      <c r="E340" s="1096"/>
      <c r="F340" s="307"/>
      <c r="G340" s="307"/>
      <c r="H340" s="308">
        <f>IF(F340&lt;=$I$6,$I$6,F340)</f>
        <v>44878</v>
      </c>
      <c r="I340" s="308">
        <f>IF(G340&lt;=$I$7,G340,$I$7)</f>
        <v>0</v>
      </c>
      <c r="J340" s="320" t="str">
        <f>IF(F340="","",G340-F340+1)</f>
        <v/>
      </c>
      <c r="K340" s="321" t="str">
        <f>IF(F340="","",I340-H340+1)</f>
        <v/>
      </c>
      <c r="L340" s="311"/>
      <c r="M340" s="216" t="str">
        <f>IF(F340="","",L340*K340/J340)</f>
        <v/>
      </c>
      <c r="N340" s="1102"/>
      <c r="P340" s="156"/>
      <c r="Q340" s="156"/>
      <c r="R340" s="156"/>
      <c r="S340" s="156"/>
      <c r="T340" s="156"/>
    </row>
    <row r="341" spans="1:20">
      <c r="A341" s="1110"/>
      <c r="B341" s="1086"/>
      <c r="C341" s="1112"/>
      <c r="D341" s="1097"/>
      <c r="E341" s="1097"/>
      <c r="F341" s="1099"/>
      <c r="G341" s="1100"/>
      <c r="H341" s="1100"/>
      <c r="I341" s="1100"/>
      <c r="J341" s="1100"/>
      <c r="K341" s="1101"/>
      <c r="L341" s="311"/>
      <c r="M341" s="216">
        <f>L341</f>
        <v>0</v>
      </c>
      <c r="N341" s="1103"/>
      <c r="P341" s="156"/>
      <c r="Q341" s="156"/>
      <c r="R341" s="156"/>
      <c r="S341" s="156"/>
      <c r="T341" s="156"/>
    </row>
    <row r="342" spans="1:20">
      <c r="A342" s="1110"/>
      <c r="B342" s="1086"/>
      <c r="C342" s="1112"/>
      <c r="D342" s="1096"/>
      <c r="E342" s="1096"/>
      <c r="F342" s="307"/>
      <c r="G342" s="307"/>
      <c r="H342" s="308">
        <f>IF(F342&lt;=$I$6,$I$6,F342)</f>
        <v>44878</v>
      </c>
      <c r="I342" s="308">
        <f>IF(G342&lt;=$I$7,G342,$I$7)</f>
        <v>0</v>
      </c>
      <c r="J342" s="320" t="str">
        <f>IF(F342="","",G342-F342+1)</f>
        <v/>
      </c>
      <c r="K342" s="321" t="str">
        <f>IF(F342="","",I342-H342+1)</f>
        <v/>
      </c>
      <c r="L342" s="311"/>
      <c r="M342" s="216" t="str">
        <f>IF(F342="","",L342*K342/J342)</f>
        <v/>
      </c>
      <c r="N342" s="1102"/>
      <c r="P342" s="156"/>
      <c r="Q342" s="156"/>
      <c r="R342" s="156"/>
      <c r="S342" s="156"/>
      <c r="T342" s="156"/>
    </row>
    <row r="343" spans="1:20">
      <c r="A343" s="1110"/>
      <c r="B343" s="1086"/>
      <c r="C343" s="1112"/>
      <c r="D343" s="1097"/>
      <c r="E343" s="1097"/>
      <c r="F343" s="1099"/>
      <c r="G343" s="1100"/>
      <c r="H343" s="1100"/>
      <c r="I343" s="1100"/>
      <c r="J343" s="1100"/>
      <c r="K343" s="1101"/>
      <c r="L343" s="311"/>
      <c r="M343" s="216">
        <f>L343</f>
        <v>0</v>
      </c>
      <c r="N343" s="1103"/>
      <c r="P343" s="156"/>
      <c r="Q343" s="156"/>
      <c r="R343" s="156"/>
      <c r="S343" s="156"/>
      <c r="T343" s="156"/>
    </row>
    <row r="344" spans="1:20">
      <c r="A344" s="1110"/>
      <c r="B344" s="1086"/>
      <c r="C344" s="1098" t="s">
        <v>102</v>
      </c>
      <c r="D344" s="1098"/>
      <c r="E344" s="1098"/>
      <c r="F344" s="1098"/>
      <c r="G344" s="1098"/>
      <c r="H344" s="1098"/>
      <c r="I344" s="1098"/>
      <c r="J344" s="1098"/>
      <c r="K344" s="1098"/>
      <c r="L344" s="1098"/>
      <c r="M344" s="325">
        <f>SUM(M324:M343)</f>
        <v>0</v>
      </c>
      <c r="N344" s="316"/>
      <c r="P344" s="156"/>
      <c r="Q344" s="156"/>
      <c r="R344" s="156"/>
      <c r="S344" s="156"/>
      <c r="T344" s="156"/>
    </row>
    <row r="345" spans="1:20">
      <c r="A345" s="1110"/>
      <c r="B345" s="1086"/>
      <c r="C345" s="1105" t="s">
        <v>354</v>
      </c>
      <c r="D345" s="1096"/>
      <c r="E345" s="1096"/>
      <c r="F345" s="307"/>
      <c r="G345" s="307"/>
      <c r="H345" s="308">
        <f>IF(F345&lt;=$I$6,$I$6,F345)</f>
        <v>44878</v>
      </c>
      <c r="I345" s="308">
        <f>IF(G345&lt;=$I$7,G345,$I$7)</f>
        <v>0</v>
      </c>
      <c r="J345" s="320" t="str">
        <f>IF(F345="","",G345-F345+1)</f>
        <v/>
      </c>
      <c r="K345" s="321" t="str">
        <f>IF(F345="","",I345-H345+1)</f>
        <v/>
      </c>
      <c r="L345" s="311"/>
      <c r="M345" s="216" t="str">
        <f>IF(F345="","",L345*K345/J345)</f>
        <v/>
      </c>
      <c r="N345" s="1102"/>
      <c r="P345" s="156"/>
      <c r="Q345" s="156"/>
      <c r="R345" s="156"/>
      <c r="S345" s="156"/>
      <c r="T345" s="156"/>
    </row>
    <row r="346" spans="1:20">
      <c r="A346" s="1110"/>
      <c r="B346" s="1086"/>
      <c r="C346" s="1095"/>
      <c r="D346" s="1097"/>
      <c r="E346" s="1097"/>
      <c r="F346" s="1099"/>
      <c r="G346" s="1100"/>
      <c r="H346" s="1100"/>
      <c r="I346" s="1100"/>
      <c r="J346" s="1100"/>
      <c r="K346" s="1101"/>
      <c r="L346" s="311"/>
      <c r="M346" s="216">
        <f>L346</f>
        <v>0</v>
      </c>
      <c r="N346" s="1103"/>
      <c r="P346" s="156"/>
      <c r="Q346" s="156"/>
      <c r="R346" s="156"/>
      <c r="S346" s="156"/>
      <c r="T346" s="156"/>
    </row>
    <row r="347" spans="1:20">
      <c r="A347" s="1110"/>
      <c r="B347" s="1086"/>
      <c r="C347" s="1095"/>
      <c r="D347" s="1096"/>
      <c r="E347" s="1096"/>
      <c r="F347" s="307"/>
      <c r="G347" s="307"/>
      <c r="H347" s="308">
        <f>IF(F347&lt;=$I$6,$I$6,F347)</f>
        <v>44878</v>
      </c>
      <c r="I347" s="308">
        <f>IF(G347&lt;=$I$7,G347,$I$7)</f>
        <v>0</v>
      </c>
      <c r="J347" s="320" t="str">
        <f>IF(F347="","",G347-F347+1)</f>
        <v/>
      </c>
      <c r="K347" s="321" t="str">
        <f>IF(F347="","",I347-H347+1)</f>
        <v/>
      </c>
      <c r="L347" s="311"/>
      <c r="M347" s="216" t="str">
        <f>IF(F347="","",L347*K347/J347)</f>
        <v/>
      </c>
      <c r="N347" s="1102"/>
      <c r="P347" s="156"/>
      <c r="Q347" s="156"/>
      <c r="R347" s="156"/>
      <c r="S347" s="156"/>
      <c r="T347" s="156"/>
    </row>
    <row r="348" spans="1:20">
      <c r="A348" s="1110"/>
      <c r="B348" s="1086"/>
      <c r="C348" s="1095"/>
      <c r="D348" s="1097"/>
      <c r="E348" s="1097"/>
      <c r="F348" s="1099"/>
      <c r="G348" s="1100"/>
      <c r="H348" s="1100"/>
      <c r="I348" s="1100"/>
      <c r="J348" s="1100"/>
      <c r="K348" s="1101"/>
      <c r="L348" s="311"/>
      <c r="M348" s="216">
        <f>L348</f>
        <v>0</v>
      </c>
      <c r="N348" s="1103"/>
      <c r="P348" s="156"/>
      <c r="Q348" s="156"/>
      <c r="R348" s="156"/>
      <c r="S348" s="156"/>
      <c r="T348" s="156"/>
    </row>
    <row r="349" spans="1:20">
      <c r="A349" s="1110"/>
      <c r="B349" s="1086"/>
      <c r="C349" s="1095"/>
      <c r="D349" s="1096"/>
      <c r="E349" s="1096"/>
      <c r="F349" s="307"/>
      <c r="G349" s="307"/>
      <c r="H349" s="308">
        <f>IF(F349&lt;=$I$6,$I$6,F349)</f>
        <v>44878</v>
      </c>
      <c r="I349" s="308">
        <f>IF(G349&lt;=$I$7,G349,$I$7)</f>
        <v>0</v>
      </c>
      <c r="J349" s="320" t="str">
        <f>IF(F349="","",G349-F349+1)</f>
        <v/>
      </c>
      <c r="K349" s="321" t="str">
        <f>IF(F349="","",I349-H349+1)</f>
        <v/>
      </c>
      <c r="L349" s="311"/>
      <c r="M349" s="216" t="str">
        <f>IF(F349="","",L349*K349/J349)</f>
        <v/>
      </c>
      <c r="N349" s="1102"/>
      <c r="P349" s="156"/>
      <c r="Q349" s="156"/>
      <c r="R349" s="156"/>
      <c r="S349" s="156"/>
      <c r="T349" s="156"/>
    </row>
    <row r="350" spans="1:20">
      <c r="A350" s="1110"/>
      <c r="B350" s="1086"/>
      <c r="C350" s="1095"/>
      <c r="D350" s="1097"/>
      <c r="E350" s="1097"/>
      <c r="F350" s="1099"/>
      <c r="G350" s="1100"/>
      <c r="H350" s="1100"/>
      <c r="I350" s="1100"/>
      <c r="J350" s="1100"/>
      <c r="K350" s="1101"/>
      <c r="L350" s="311"/>
      <c r="M350" s="216">
        <f>L350</f>
        <v>0</v>
      </c>
      <c r="N350" s="1103"/>
      <c r="P350" s="156"/>
      <c r="Q350" s="156"/>
      <c r="R350" s="156"/>
      <c r="S350" s="156"/>
      <c r="T350" s="156"/>
    </row>
    <row r="351" spans="1:20">
      <c r="A351" s="1110"/>
      <c r="B351" s="1086"/>
      <c r="C351" s="1095"/>
      <c r="D351" s="1096"/>
      <c r="E351" s="1096"/>
      <c r="F351" s="307"/>
      <c r="G351" s="307"/>
      <c r="H351" s="308">
        <f>IF(F351&lt;=$I$6,$I$6,F351)</f>
        <v>44878</v>
      </c>
      <c r="I351" s="308">
        <f>IF(G351&lt;=$I$7,G351,$I$7)</f>
        <v>0</v>
      </c>
      <c r="J351" s="320" t="str">
        <f>IF(F351="","",G351-F351+1)</f>
        <v/>
      </c>
      <c r="K351" s="321" t="str">
        <f>IF(F351="","",I351-H351+1)</f>
        <v/>
      </c>
      <c r="L351" s="311"/>
      <c r="M351" s="216" t="str">
        <f>IF(F351="","",L351*K351/J351)</f>
        <v/>
      </c>
      <c r="N351" s="1102"/>
      <c r="P351" s="156"/>
      <c r="Q351" s="156"/>
      <c r="R351" s="156"/>
      <c r="S351" s="156"/>
      <c r="T351" s="156"/>
    </row>
    <row r="352" spans="1:20">
      <c r="A352" s="1110"/>
      <c r="B352" s="1086"/>
      <c r="C352" s="1095"/>
      <c r="D352" s="1097"/>
      <c r="E352" s="1097"/>
      <c r="F352" s="1099"/>
      <c r="G352" s="1100"/>
      <c r="H352" s="1100"/>
      <c r="I352" s="1100"/>
      <c r="J352" s="1100"/>
      <c r="K352" s="1101"/>
      <c r="L352" s="311"/>
      <c r="M352" s="216">
        <f>L352</f>
        <v>0</v>
      </c>
      <c r="N352" s="1103"/>
      <c r="P352" s="156"/>
      <c r="Q352" s="156"/>
      <c r="R352" s="156"/>
      <c r="S352" s="156"/>
      <c r="T352" s="156"/>
    </row>
    <row r="353" spans="1:20">
      <c r="A353" s="1110"/>
      <c r="B353" s="1086"/>
      <c r="C353" s="1095"/>
      <c r="D353" s="1096"/>
      <c r="E353" s="1096"/>
      <c r="F353" s="307"/>
      <c r="G353" s="307"/>
      <c r="H353" s="308">
        <f>IF(F353&lt;=$I$6,$I$6,F353)</f>
        <v>44878</v>
      </c>
      <c r="I353" s="308">
        <f>IF(G353&lt;=$I$7,G353,$I$7)</f>
        <v>0</v>
      </c>
      <c r="J353" s="320" t="str">
        <f>IF(F353="","",G353-F353+1)</f>
        <v/>
      </c>
      <c r="K353" s="321" t="str">
        <f>IF(F353="","",I353-H353+1)</f>
        <v/>
      </c>
      <c r="L353" s="311"/>
      <c r="M353" s="216" t="str">
        <f>IF(F353="","",L353*K353/J353)</f>
        <v/>
      </c>
      <c r="N353" s="1102"/>
      <c r="P353" s="156"/>
      <c r="Q353" s="156"/>
      <c r="R353" s="156"/>
      <c r="S353" s="156"/>
      <c r="T353" s="156"/>
    </row>
    <row r="354" spans="1:20">
      <c r="A354" s="1110"/>
      <c r="B354" s="1086"/>
      <c r="C354" s="1095"/>
      <c r="D354" s="1097"/>
      <c r="E354" s="1097"/>
      <c r="F354" s="1099"/>
      <c r="G354" s="1100"/>
      <c r="H354" s="1100"/>
      <c r="I354" s="1100"/>
      <c r="J354" s="1100"/>
      <c r="K354" s="1101"/>
      <c r="L354" s="311"/>
      <c r="M354" s="216">
        <f>L354</f>
        <v>0</v>
      </c>
      <c r="N354" s="1103"/>
      <c r="P354" s="156"/>
      <c r="Q354" s="156"/>
      <c r="R354" s="156"/>
      <c r="S354" s="156"/>
      <c r="T354" s="156"/>
    </row>
    <row r="355" spans="1:20">
      <c r="A355" s="1110"/>
      <c r="B355" s="1086"/>
      <c r="C355" s="1095"/>
      <c r="D355" s="1096"/>
      <c r="E355" s="1096"/>
      <c r="F355" s="307"/>
      <c r="G355" s="307"/>
      <c r="H355" s="308">
        <f>IF(F355&lt;=$I$6,$I$6,F355)</f>
        <v>44878</v>
      </c>
      <c r="I355" s="308">
        <f>IF(G355&lt;=$I$7,G355,$I$7)</f>
        <v>0</v>
      </c>
      <c r="J355" s="320" t="str">
        <f>IF(F355="","",G355-F355+1)</f>
        <v/>
      </c>
      <c r="K355" s="321" t="str">
        <f>IF(F355="","",I355-H355+1)</f>
        <v/>
      </c>
      <c r="L355" s="311"/>
      <c r="M355" s="216" t="str">
        <f>IF(F355="","",L355*K355/J355)</f>
        <v/>
      </c>
      <c r="N355" s="1102"/>
      <c r="P355" s="156"/>
      <c r="Q355" s="156"/>
      <c r="R355" s="156"/>
      <c r="S355" s="156"/>
      <c r="T355" s="156"/>
    </row>
    <row r="356" spans="1:20">
      <c r="A356" s="1110"/>
      <c r="B356" s="1086"/>
      <c r="C356" s="1095"/>
      <c r="D356" s="1097"/>
      <c r="E356" s="1097"/>
      <c r="F356" s="1099"/>
      <c r="G356" s="1100"/>
      <c r="H356" s="1100"/>
      <c r="I356" s="1100"/>
      <c r="J356" s="1100"/>
      <c r="K356" s="1101"/>
      <c r="L356" s="311"/>
      <c r="M356" s="216">
        <f>L356</f>
        <v>0</v>
      </c>
      <c r="N356" s="1103"/>
      <c r="P356" s="156"/>
      <c r="Q356" s="156"/>
      <c r="R356" s="156"/>
      <c r="S356" s="156"/>
      <c r="T356" s="156"/>
    </row>
    <row r="357" spans="1:20">
      <c r="A357" s="1110"/>
      <c r="B357" s="1086"/>
      <c r="C357" s="1095"/>
      <c r="D357" s="1096"/>
      <c r="E357" s="1096"/>
      <c r="F357" s="307"/>
      <c r="G357" s="307"/>
      <c r="H357" s="308">
        <f>IF(F357&lt;=$I$6,$I$6,F357)</f>
        <v>44878</v>
      </c>
      <c r="I357" s="308">
        <f>IF(G357&lt;=$I$7,G357,$I$7)</f>
        <v>0</v>
      </c>
      <c r="J357" s="320" t="str">
        <f>IF(F357="","",G357-F357+1)</f>
        <v/>
      </c>
      <c r="K357" s="321" t="str">
        <f>IF(F357="","",I357-H357+1)</f>
        <v/>
      </c>
      <c r="L357" s="311"/>
      <c r="M357" s="216" t="str">
        <f>IF(F357="","",L357*K357/J357)</f>
        <v/>
      </c>
      <c r="N357" s="1102"/>
      <c r="P357" s="156"/>
      <c r="Q357" s="156"/>
      <c r="R357" s="156"/>
      <c r="S357" s="156"/>
      <c r="T357" s="156"/>
    </row>
    <row r="358" spans="1:20">
      <c r="A358" s="1110"/>
      <c r="B358" s="1086"/>
      <c r="C358" s="1095"/>
      <c r="D358" s="1097"/>
      <c r="E358" s="1097"/>
      <c r="F358" s="1099"/>
      <c r="G358" s="1100"/>
      <c r="H358" s="1100"/>
      <c r="I358" s="1100"/>
      <c r="J358" s="1100"/>
      <c r="K358" s="1101"/>
      <c r="L358" s="311"/>
      <c r="M358" s="216">
        <f>L358</f>
        <v>0</v>
      </c>
      <c r="N358" s="1103"/>
      <c r="P358" s="156"/>
      <c r="Q358" s="156"/>
      <c r="R358" s="156"/>
      <c r="S358" s="156"/>
      <c r="T358" s="156"/>
    </row>
    <row r="359" spans="1:20">
      <c r="A359" s="1110"/>
      <c r="B359" s="1086"/>
      <c r="C359" s="1095"/>
      <c r="D359" s="1096"/>
      <c r="E359" s="1096"/>
      <c r="F359" s="307"/>
      <c r="G359" s="307"/>
      <c r="H359" s="308">
        <f>IF(F359&lt;=$I$6,$I$6,F359)</f>
        <v>44878</v>
      </c>
      <c r="I359" s="308">
        <f>IF(G359&lt;=$I$7,G359,$I$7)</f>
        <v>0</v>
      </c>
      <c r="J359" s="320" t="str">
        <f>IF(F359="","",G359-F359+1)</f>
        <v/>
      </c>
      <c r="K359" s="321" t="str">
        <f>IF(F359="","",I359-H359+1)</f>
        <v/>
      </c>
      <c r="L359" s="311"/>
      <c r="M359" s="216" t="str">
        <f>IF(F359="","",L359*K359/J359)</f>
        <v/>
      </c>
      <c r="N359" s="1102"/>
      <c r="P359" s="156"/>
      <c r="Q359" s="156"/>
      <c r="R359" s="156"/>
      <c r="S359" s="156"/>
      <c r="T359" s="156"/>
    </row>
    <row r="360" spans="1:20">
      <c r="A360" s="1110"/>
      <c r="B360" s="1086"/>
      <c r="C360" s="1095"/>
      <c r="D360" s="1097"/>
      <c r="E360" s="1097"/>
      <c r="F360" s="1099"/>
      <c r="G360" s="1100"/>
      <c r="H360" s="1100"/>
      <c r="I360" s="1100"/>
      <c r="J360" s="1100"/>
      <c r="K360" s="1101"/>
      <c r="L360" s="311"/>
      <c r="M360" s="216">
        <f>L360</f>
        <v>0</v>
      </c>
      <c r="N360" s="1103"/>
      <c r="P360" s="156"/>
      <c r="Q360" s="156"/>
      <c r="R360" s="156"/>
      <c r="S360" s="156"/>
      <c r="T360" s="156"/>
    </row>
    <row r="361" spans="1:20">
      <c r="A361" s="1110"/>
      <c r="B361" s="1086"/>
      <c r="C361" s="1095"/>
      <c r="D361" s="1096"/>
      <c r="E361" s="1096"/>
      <c r="F361" s="307"/>
      <c r="G361" s="307"/>
      <c r="H361" s="308">
        <f>IF(F361&lt;=$I$6,$I$6,F361)</f>
        <v>44878</v>
      </c>
      <c r="I361" s="308">
        <f>IF(G361&lt;=$I$7,G361,$I$7)</f>
        <v>0</v>
      </c>
      <c r="J361" s="320" t="str">
        <f>IF(F361="","",G361-F361+1)</f>
        <v/>
      </c>
      <c r="K361" s="321" t="str">
        <f>IF(F361="","",I361-H361+1)</f>
        <v/>
      </c>
      <c r="L361" s="311"/>
      <c r="M361" s="216" t="str">
        <f>IF(F361="","",L361*K361/J361)</f>
        <v/>
      </c>
      <c r="N361" s="1102"/>
      <c r="P361" s="156"/>
      <c r="Q361" s="156"/>
      <c r="R361" s="156"/>
      <c r="S361" s="156"/>
      <c r="T361" s="156"/>
    </row>
    <row r="362" spans="1:20">
      <c r="A362" s="1110"/>
      <c r="B362" s="1086"/>
      <c r="C362" s="1095"/>
      <c r="D362" s="1097"/>
      <c r="E362" s="1097"/>
      <c r="F362" s="1099"/>
      <c r="G362" s="1100"/>
      <c r="H362" s="1100"/>
      <c r="I362" s="1100"/>
      <c r="J362" s="1100"/>
      <c r="K362" s="1101"/>
      <c r="L362" s="311"/>
      <c r="M362" s="216">
        <f>L362</f>
        <v>0</v>
      </c>
      <c r="N362" s="1103"/>
      <c r="P362" s="156"/>
      <c r="Q362" s="156"/>
      <c r="R362" s="156"/>
      <c r="S362" s="156"/>
      <c r="T362" s="156"/>
    </row>
    <row r="363" spans="1:20">
      <c r="A363" s="1110"/>
      <c r="B363" s="1086"/>
      <c r="C363" s="1095"/>
      <c r="D363" s="1096"/>
      <c r="E363" s="1096"/>
      <c r="F363" s="307"/>
      <c r="G363" s="307"/>
      <c r="H363" s="308">
        <f>IF(F363&lt;=$I$6,$I$6,F363)</f>
        <v>44878</v>
      </c>
      <c r="I363" s="308">
        <f>IF(G363&lt;=$I$7,G363,$I$7)</f>
        <v>0</v>
      </c>
      <c r="J363" s="320" t="str">
        <f>IF(F363="","",G363-F363+1)</f>
        <v/>
      </c>
      <c r="K363" s="321" t="str">
        <f>IF(F363="","",I363-H363+1)</f>
        <v/>
      </c>
      <c r="L363" s="311"/>
      <c r="M363" s="216" t="str">
        <f>IF(F363="","",L363*K363/J363)</f>
        <v/>
      </c>
      <c r="N363" s="1102"/>
      <c r="P363" s="156"/>
      <c r="Q363" s="156"/>
      <c r="R363" s="156"/>
      <c r="S363" s="156"/>
      <c r="T363" s="156"/>
    </row>
    <row r="364" spans="1:20">
      <c r="A364" s="1110"/>
      <c r="B364" s="1086"/>
      <c r="C364" s="1095"/>
      <c r="D364" s="1097"/>
      <c r="E364" s="1097"/>
      <c r="F364" s="1099"/>
      <c r="G364" s="1100"/>
      <c r="H364" s="1100"/>
      <c r="I364" s="1100"/>
      <c r="J364" s="1100"/>
      <c r="K364" s="1101"/>
      <c r="L364" s="311"/>
      <c r="M364" s="216">
        <f>L364</f>
        <v>0</v>
      </c>
      <c r="N364" s="1103"/>
      <c r="P364" s="156"/>
      <c r="Q364" s="156"/>
      <c r="R364" s="156"/>
      <c r="S364" s="156"/>
      <c r="T364" s="156"/>
    </row>
    <row r="365" spans="1:20">
      <c r="A365" s="1110"/>
      <c r="B365" s="1087"/>
      <c r="C365" s="1104" t="s">
        <v>353</v>
      </c>
      <c r="D365" s="1104"/>
      <c r="E365" s="1104"/>
      <c r="F365" s="1104"/>
      <c r="G365" s="1104"/>
      <c r="H365" s="1104"/>
      <c r="I365" s="1104"/>
      <c r="J365" s="1104"/>
      <c r="K365" s="1104"/>
      <c r="L365" s="1104"/>
      <c r="M365" s="326">
        <f>SUM(M345:M364)*0.7</f>
        <v>0</v>
      </c>
      <c r="N365" s="316"/>
      <c r="P365" s="156"/>
      <c r="Q365" s="156"/>
      <c r="R365" s="156"/>
      <c r="S365" s="156"/>
      <c r="T365" s="156"/>
    </row>
  </sheetData>
  <mergeCells count="441">
    <mergeCell ref="C123:C132"/>
    <mergeCell ref="B123:B159"/>
    <mergeCell ref="A123:A159"/>
    <mergeCell ref="N37:N38"/>
    <mergeCell ref="F37:G37"/>
    <mergeCell ref="H37:I37"/>
    <mergeCell ref="D60:D67"/>
    <mergeCell ref="E60:E67"/>
    <mergeCell ref="F67:K67"/>
    <mergeCell ref="F42:K42"/>
    <mergeCell ref="C76:C89"/>
    <mergeCell ref="D76:D79"/>
    <mergeCell ref="E76:E79"/>
    <mergeCell ref="F79:K79"/>
    <mergeCell ref="D80:D83"/>
    <mergeCell ref="E80:E83"/>
    <mergeCell ref="F83:K83"/>
    <mergeCell ref="D84:D86"/>
    <mergeCell ref="E84:E86"/>
    <mergeCell ref="F86:K86"/>
    <mergeCell ref="D87:D89"/>
    <mergeCell ref="K94:K95"/>
    <mergeCell ref="L94:L95"/>
    <mergeCell ref="M94:M95"/>
    <mergeCell ref="E1:M1"/>
    <mergeCell ref="O39:W39"/>
    <mergeCell ref="O42:W42"/>
    <mergeCell ref="O43:S67"/>
    <mergeCell ref="A4:A5"/>
    <mergeCell ref="B4:D4"/>
    <mergeCell ref="E4:E5"/>
    <mergeCell ref="F4:F5"/>
    <mergeCell ref="H4:H5"/>
    <mergeCell ref="I4:I5"/>
    <mergeCell ref="E13:K13"/>
    <mergeCell ref="A14:A15"/>
    <mergeCell ref="B14:C15"/>
    <mergeCell ref="D14:D15"/>
    <mergeCell ref="E14:E15"/>
    <mergeCell ref="F14:G14"/>
    <mergeCell ref="H14:I14"/>
    <mergeCell ref="J14:J15"/>
    <mergeCell ref="K14:K15"/>
    <mergeCell ref="N14:N15"/>
    <mergeCell ref="C17:L17"/>
    <mergeCell ref="D53:D59"/>
    <mergeCell ref="E53:E59"/>
    <mergeCell ref="F59:K59"/>
    <mergeCell ref="L14:L15"/>
    <mergeCell ref="M14:M15"/>
    <mergeCell ref="D39:D42"/>
    <mergeCell ref="E39:E42"/>
    <mergeCell ref="D37:D38"/>
    <mergeCell ref="E37:E38"/>
    <mergeCell ref="M37:M38"/>
    <mergeCell ref="F74:K74"/>
    <mergeCell ref="C75:L75"/>
    <mergeCell ref="C34:L34"/>
    <mergeCell ref="J37:J38"/>
    <mergeCell ref="K37:K38"/>
    <mergeCell ref="L37:L38"/>
    <mergeCell ref="D43:D48"/>
    <mergeCell ref="E43:E48"/>
    <mergeCell ref="F48:K48"/>
    <mergeCell ref="D49:D52"/>
    <mergeCell ref="E49:E52"/>
    <mergeCell ref="F52:K52"/>
    <mergeCell ref="E73:E74"/>
    <mergeCell ref="C18:C27"/>
    <mergeCell ref="C28:C33"/>
    <mergeCell ref="C60:C74"/>
    <mergeCell ref="E87:E89"/>
    <mergeCell ref="F89:K89"/>
    <mergeCell ref="N94:N95"/>
    <mergeCell ref="A96:A104"/>
    <mergeCell ref="B96:B104"/>
    <mergeCell ref="C97:L97"/>
    <mergeCell ref="C98:C103"/>
    <mergeCell ref="C104:L104"/>
    <mergeCell ref="C90:L90"/>
    <mergeCell ref="A93:C93"/>
    <mergeCell ref="E93:K93"/>
    <mergeCell ref="A94:A95"/>
    <mergeCell ref="B94:C95"/>
    <mergeCell ref="D94:D95"/>
    <mergeCell ref="E94:E95"/>
    <mergeCell ref="F94:G94"/>
    <mergeCell ref="H94:I94"/>
    <mergeCell ref="J94:J95"/>
    <mergeCell ref="B60:B90"/>
    <mergeCell ref="A60:A90"/>
    <mergeCell ref="D68:D72"/>
    <mergeCell ref="E68:E72"/>
    <mergeCell ref="F72:K72"/>
    <mergeCell ref="D73:D74"/>
    <mergeCell ref="J106:J107"/>
    <mergeCell ref="K106:K107"/>
    <mergeCell ref="L106:L107"/>
    <mergeCell ref="M106:M107"/>
    <mergeCell ref="N106:N107"/>
    <mergeCell ref="D108:D110"/>
    <mergeCell ref="E108:E110"/>
    <mergeCell ref="A106:A107"/>
    <mergeCell ref="B106:C107"/>
    <mergeCell ref="D106:D107"/>
    <mergeCell ref="E106:E107"/>
    <mergeCell ref="F106:G106"/>
    <mergeCell ref="H106:I106"/>
    <mergeCell ref="C108:C122"/>
    <mergeCell ref="B108:B122"/>
    <mergeCell ref="A108:A122"/>
    <mergeCell ref="D119:D122"/>
    <mergeCell ref="E119:E122"/>
    <mergeCell ref="N119:N122"/>
    <mergeCell ref="F122:K122"/>
    <mergeCell ref="D123:D130"/>
    <mergeCell ref="E123:E130"/>
    <mergeCell ref="N123:N130"/>
    <mergeCell ref="F130:K130"/>
    <mergeCell ref="N108:N110"/>
    <mergeCell ref="F110:K110"/>
    <mergeCell ref="D111:D118"/>
    <mergeCell ref="E111:E118"/>
    <mergeCell ref="N111:N118"/>
    <mergeCell ref="F118:K118"/>
    <mergeCell ref="D131:D132"/>
    <mergeCell ref="E131:E132"/>
    <mergeCell ref="N131:N132"/>
    <mergeCell ref="F132:K132"/>
    <mergeCell ref="N134:N136"/>
    <mergeCell ref="F136:K136"/>
    <mergeCell ref="D137:D139"/>
    <mergeCell ref="E137:E139"/>
    <mergeCell ref="N137:N139"/>
    <mergeCell ref="F139:K139"/>
    <mergeCell ref="C133:L133"/>
    <mergeCell ref="C134:C158"/>
    <mergeCell ref="D134:D136"/>
    <mergeCell ref="E134:E136"/>
    <mergeCell ref="D154:D158"/>
    <mergeCell ref="E154:E158"/>
    <mergeCell ref="N154:N158"/>
    <mergeCell ref="F158:K158"/>
    <mergeCell ref="D140:D145"/>
    <mergeCell ref="E140:E145"/>
    <mergeCell ref="N140:N145"/>
    <mergeCell ref="F145:K145"/>
    <mergeCell ref="D146:D149"/>
    <mergeCell ref="E146:E149"/>
    <mergeCell ref="D150:D153"/>
    <mergeCell ref="E150:E153"/>
    <mergeCell ref="N150:N153"/>
    <mergeCell ref="F153:K153"/>
    <mergeCell ref="M173:M174"/>
    <mergeCell ref="N173:N174"/>
    <mergeCell ref="D175:D176"/>
    <mergeCell ref="E175:E176"/>
    <mergeCell ref="N146:N149"/>
    <mergeCell ref="F149:K149"/>
    <mergeCell ref="N163:N164"/>
    <mergeCell ref="F176:K176"/>
    <mergeCell ref="C159:L159"/>
    <mergeCell ref="A162:C162"/>
    <mergeCell ref="E162:K162"/>
    <mergeCell ref="J163:J164"/>
    <mergeCell ref="A173:A174"/>
    <mergeCell ref="B173:C174"/>
    <mergeCell ref="D173:D174"/>
    <mergeCell ref="E173:E174"/>
    <mergeCell ref="F173:G173"/>
    <mergeCell ref="H173:I173"/>
    <mergeCell ref="K163:K164"/>
    <mergeCell ref="L163:L164"/>
    <mergeCell ref="M163:M164"/>
    <mergeCell ref="A165:A171"/>
    <mergeCell ref="B165:B171"/>
    <mergeCell ref="C165:C167"/>
    <mergeCell ref="C168:L168"/>
    <mergeCell ref="J173:J174"/>
    <mergeCell ref="K173:K174"/>
    <mergeCell ref="L173:L174"/>
    <mergeCell ref="C169:C170"/>
    <mergeCell ref="C171:L171"/>
    <mergeCell ref="A163:A164"/>
    <mergeCell ref="B163:C164"/>
    <mergeCell ref="D163:D164"/>
    <mergeCell ref="E163:E164"/>
    <mergeCell ref="F163:G163"/>
    <mergeCell ref="H163:I163"/>
    <mergeCell ref="N178:N179"/>
    <mergeCell ref="F179:K179"/>
    <mergeCell ref="C180:L180"/>
    <mergeCell ref="A183:C183"/>
    <mergeCell ref="E183:K183"/>
    <mergeCell ref="A184:A185"/>
    <mergeCell ref="B184:C185"/>
    <mergeCell ref="D184:D185"/>
    <mergeCell ref="E184:E185"/>
    <mergeCell ref="F184:G184"/>
    <mergeCell ref="H184:I184"/>
    <mergeCell ref="J184:J185"/>
    <mergeCell ref="A175:A180"/>
    <mergeCell ref="B175:B180"/>
    <mergeCell ref="C175:C176"/>
    <mergeCell ref="K184:K185"/>
    <mergeCell ref="L184:L185"/>
    <mergeCell ref="C177:L177"/>
    <mergeCell ref="C178:C179"/>
    <mergeCell ref="D178:D179"/>
    <mergeCell ref="E178:E179"/>
    <mergeCell ref="M184:M185"/>
    <mergeCell ref="N184:N185"/>
    <mergeCell ref="N175:N176"/>
    <mergeCell ref="A186:A227"/>
    <mergeCell ref="B186:B227"/>
    <mergeCell ref="C186:C205"/>
    <mergeCell ref="C206:L206"/>
    <mergeCell ref="C207:C226"/>
    <mergeCell ref="C227:L227"/>
    <mergeCell ref="A231:A272"/>
    <mergeCell ref="B231:B272"/>
    <mergeCell ref="C231:C250"/>
    <mergeCell ref="D231:D232"/>
    <mergeCell ref="E231:E232"/>
    <mergeCell ref="A229:A230"/>
    <mergeCell ref="B229:C230"/>
    <mergeCell ref="D229:D230"/>
    <mergeCell ref="E229:E230"/>
    <mergeCell ref="D239:D240"/>
    <mergeCell ref="E239:E240"/>
    <mergeCell ref="E247:E248"/>
    <mergeCell ref="D270:D271"/>
    <mergeCell ref="E270:E271"/>
    <mergeCell ref="C272:L272"/>
    <mergeCell ref="D256:D257"/>
    <mergeCell ref="E256:E257"/>
    <mergeCell ref="N231:N232"/>
    <mergeCell ref="F232:K232"/>
    <mergeCell ref="D233:D234"/>
    <mergeCell ref="E233:E234"/>
    <mergeCell ref="N233:N234"/>
    <mergeCell ref="F234:K234"/>
    <mergeCell ref="J229:J230"/>
    <mergeCell ref="K229:K230"/>
    <mergeCell ref="L229:L230"/>
    <mergeCell ref="M229:M230"/>
    <mergeCell ref="N229:N230"/>
    <mergeCell ref="F229:G229"/>
    <mergeCell ref="H229:I229"/>
    <mergeCell ref="N239:N240"/>
    <mergeCell ref="F240:K240"/>
    <mergeCell ref="D241:D242"/>
    <mergeCell ref="E241:E242"/>
    <mergeCell ref="N241:N242"/>
    <mergeCell ref="F242:K242"/>
    <mergeCell ref="D235:D236"/>
    <mergeCell ref="E235:E236"/>
    <mergeCell ref="N235:N236"/>
    <mergeCell ref="F236:K236"/>
    <mergeCell ref="D237:D238"/>
    <mergeCell ref="E237:E238"/>
    <mergeCell ref="N237:N238"/>
    <mergeCell ref="F238:K238"/>
    <mergeCell ref="N247:N248"/>
    <mergeCell ref="F248:K248"/>
    <mergeCell ref="D249:D250"/>
    <mergeCell ref="E249:E250"/>
    <mergeCell ref="N249:N250"/>
    <mergeCell ref="F250:K250"/>
    <mergeCell ref="D243:D244"/>
    <mergeCell ref="E243:E244"/>
    <mergeCell ref="N243:N244"/>
    <mergeCell ref="F244:K244"/>
    <mergeCell ref="D245:D246"/>
    <mergeCell ref="E245:E246"/>
    <mergeCell ref="N245:N246"/>
    <mergeCell ref="F246:K246"/>
    <mergeCell ref="D247:D248"/>
    <mergeCell ref="N256:N257"/>
    <mergeCell ref="F257:K257"/>
    <mergeCell ref="D258:D259"/>
    <mergeCell ref="E258:E259"/>
    <mergeCell ref="N258:N259"/>
    <mergeCell ref="F259:K259"/>
    <mergeCell ref="C251:L251"/>
    <mergeCell ref="C252:C271"/>
    <mergeCell ref="D252:D253"/>
    <mergeCell ref="E252:E253"/>
    <mergeCell ref="N252:N253"/>
    <mergeCell ref="F253:K253"/>
    <mergeCell ref="D254:D255"/>
    <mergeCell ref="E254:E255"/>
    <mergeCell ref="N254:N255"/>
    <mergeCell ref="F255:K255"/>
    <mergeCell ref="D264:D265"/>
    <mergeCell ref="E264:E265"/>
    <mergeCell ref="N264:N265"/>
    <mergeCell ref="F265:K265"/>
    <mergeCell ref="D266:D267"/>
    <mergeCell ref="E266:E267"/>
    <mergeCell ref="N268:N269"/>
    <mergeCell ref="F269:K269"/>
    <mergeCell ref="N270:N271"/>
    <mergeCell ref="F271:K271"/>
    <mergeCell ref="N266:N267"/>
    <mergeCell ref="F267:K267"/>
    <mergeCell ref="D260:D261"/>
    <mergeCell ref="E260:E261"/>
    <mergeCell ref="N260:N261"/>
    <mergeCell ref="F261:K261"/>
    <mergeCell ref="D262:D263"/>
    <mergeCell ref="E262:E263"/>
    <mergeCell ref="N262:N263"/>
    <mergeCell ref="F263:K263"/>
    <mergeCell ref="D268:D269"/>
    <mergeCell ref="E268:E269"/>
    <mergeCell ref="M277:M278"/>
    <mergeCell ref="N277:N278"/>
    <mergeCell ref="A279:A320"/>
    <mergeCell ref="B279:B320"/>
    <mergeCell ref="C279:C298"/>
    <mergeCell ref="C299:L299"/>
    <mergeCell ref="C300:C319"/>
    <mergeCell ref="C320:L320"/>
    <mergeCell ref="A276:C276"/>
    <mergeCell ref="E276:K276"/>
    <mergeCell ref="A277:A278"/>
    <mergeCell ref="B277:C278"/>
    <mergeCell ref="D277:D278"/>
    <mergeCell ref="E277:E278"/>
    <mergeCell ref="F277:G277"/>
    <mergeCell ref="H277:I277"/>
    <mergeCell ref="J277:J278"/>
    <mergeCell ref="K277:K278"/>
    <mergeCell ref="L277:L278"/>
    <mergeCell ref="N330:N331"/>
    <mergeCell ref="F331:K331"/>
    <mergeCell ref="D332:D333"/>
    <mergeCell ref="E332:E333"/>
    <mergeCell ref="N332:N333"/>
    <mergeCell ref="A322:A323"/>
    <mergeCell ref="B322:C323"/>
    <mergeCell ref="D322:D323"/>
    <mergeCell ref="E322:E323"/>
    <mergeCell ref="F322:G322"/>
    <mergeCell ref="H322:I322"/>
    <mergeCell ref="J322:J323"/>
    <mergeCell ref="K322:K323"/>
    <mergeCell ref="L322:L323"/>
    <mergeCell ref="N334:N335"/>
    <mergeCell ref="F335:K335"/>
    <mergeCell ref="D336:D337"/>
    <mergeCell ref="E336:E337"/>
    <mergeCell ref="N336:N337"/>
    <mergeCell ref="F337:K337"/>
    <mergeCell ref="M322:M323"/>
    <mergeCell ref="N322:N323"/>
    <mergeCell ref="A324:A365"/>
    <mergeCell ref="B324:B365"/>
    <mergeCell ref="C324:C343"/>
    <mergeCell ref="D324:D325"/>
    <mergeCell ref="E324:E325"/>
    <mergeCell ref="N324:N325"/>
    <mergeCell ref="F325:K325"/>
    <mergeCell ref="D326:D327"/>
    <mergeCell ref="E326:E327"/>
    <mergeCell ref="N326:N327"/>
    <mergeCell ref="F327:K327"/>
    <mergeCell ref="D328:D329"/>
    <mergeCell ref="E328:E329"/>
    <mergeCell ref="N328:N329"/>
    <mergeCell ref="F329:K329"/>
    <mergeCell ref="D330:D331"/>
    <mergeCell ref="N353:N354"/>
    <mergeCell ref="F354:K354"/>
    <mergeCell ref="D355:D356"/>
    <mergeCell ref="E355:E356"/>
    <mergeCell ref="D338:D339"/>
    <mergeCell ref="E338:E339"/>
    <mergeCell ref="N338:N339"/>
    <mergeCell ref="F339:K339"/>
    <mergeCell ref="D340:D341"/>
    <mergeCell ref="E340:E341"/>
    <mergeCell ref="N340:N341"/>
    <mergeCell ref="F341:K341"/>
    <mergeCell ref="D342:D343"/>
    <mergeCell ref="E342:E343"/>
    <mergeCell ref="N342:N343"/>
    <mergeCell ref="F343:K343"/>
    <mergeCell ref="N347:N348"/>
    <mergeCell ref="F348:K348"/>
    <mergeCell ref="D349:D350"/>
    <mergeCell ref="E349:E350"/>
    <mergeCell ref="N349:N350"/>
    <mergeCell ref="F350:K350"/>
    <mergeCell ref="D351:D352"/>
    <mergeCell ref="E351:E352"/>
    <mergeCell ref="N351:N352"/>
    <mergeCell ref="F352:K352"/>
    <mergeCell ref="N361:N362"/>
    <mergeCell ref="F362:K362"/>
    <mergeCell ref="D363:D364"/>
    <mergeCell ref="E363:E364"/>
    <mergeCell ref="N363:N364"/>
    <mergeCell ref="F364:K364"/>
    <mergeCell ref="C365:L365"/>
    <mergeCell ref="N355:N356"/>
    <mergeCell ref="F356:K356"/>
    <mergeCell ref="D357:D358"/>
    <mergeCell ref="E357:E358"/>
    <mergeCell ref="N357:N358"/>
    <mergeCell ref="F358:K358"/>
    <mergeCell ref="D359:D360"/>
    <mergeCell ref="E359:E360"/>
    <mergeCell ref="N359:N360"/>
    <mergeCell ref="F360:K360"/>
    <mergeCell ref="C345:C364"/>
    <mergeCell ref="D345:D346"/>
    <mergeCell ref="E345:E346"/>
    <mergeCell ref="N345:N346"/>
    <mergeCell ref="F346:K346"/>
    <mergeCell ref="D361:D362"/>
    <mergeCell ref="E361:E362"/>
    <mergeCell ref="C344:L344"/>
    <mergeCell ref="D353:D354"/>
    <mergeCell ref="E353:E354"/>
    <mergeCell ref="F333:K333"/>
    <mergeCell ref="D334:D335"/>
    <mergeCell ref="E334:E335"/>
    <mergeCell ref="E330:E331"/>
    <mergeCell ref="D347:D348"/>
    <mergeCell ref="E347:E348"/>
    <mergeCell ref="B28:B34"/>
    <mergeCell ref="A28:A34"/>
    <mergeCell ref="B16:B27"/>
    <mergeCell ref="A16:A27"/>
    <mergeCell ref="C39:C59"/>
    <mergeCell ref="B39:B59"/>
    <mergeCell ref="A39:A59"/>
    <mergeCell ref="A37:A38"/>
    <mergeCell ref="B37:C38"/>
  </mergeCells>
  <phoneticPr fontId="2" type="noConversion"/>
  <printOptions horizontalCentered="1"/>
  <pageMargins left="0" right="0" top="0.74803149606299213" bottom="0.74803149606299213" header="0.31496062992125984" footer="0.31496062992125984"/>
  <pageSetup paperSize="9" scale="56" fitToHeight="0" orientation="landscape" verticalDpi="1200" r:id="rId1"/>
  <rowBreaks count="5" manualBreakCount="5">
    <brk id="27" max="13" man="1"/>
    <brk id="59" max="13" man="1"/>
    <brk id="92" max="13" man="1"/>
    <brk id="122" max="13" man="1"/>
    <brk id="161" max="13" man="1"/>
  </rowBreaks>
  <ignoredErrors>
    <ignoredError sqref="M17 M97" formula="1"/>
  </ignoredError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1:AL103"/>
  <sheetViews>
    <sheetView showGridLines="0" view="pageBreakPreview" topLeftCell="A2" zoomScaleNormal="100" zoomScaleSheetLayoutView="100" workbookViewId="0">
      <selection activeCell="A4" sqref="A4"/>
    </sheetView>
  </sheetViews>
  <sheetFormatPr defaultRowHeight="16.5"/>
  <cols>
    <col min="1" max="1" width="6.25" style="156" customWidth="1"/>
    <col min="2" max="3" width="5.875" style="156" customWidth="1"/>
    <col min="4" max="4" width="10.625" style="156" customWidth="1"/>
    <col min="5" max="5" width="8.375" style="156" customWidth="1"/>
    <col min="6" max="6" width="29.875" style="156" bestFit="1" customWidth="1"/>
    <col min="7" max="7" width="13" style="156" bestFit="1" customWidth="1"/>
    <col min="8" max="8" width="20.25" style="281" customWidth="1"/>
    <col min="9" max="9" width="21.375" style="285" customWidth="1"/>
    <col min="10" max="10" width="14.75" style="156" customWidth="1"/>
    <col min="11" max="11" width="21.5" style="156" bestFit="1" customWidth="1"/>
    <col min="12" max="12" width="12.125" style="280" bestFit="1" customWidth="1"/>
    <col min="13" max="13" width="10.875" style="280" bestFit="1" customWidth="1"/>
    <col min="14" max="15" width="11.125" style="280" customWidth="1"/>
    <col min="16" max="16" width="12.5" style="280" bestFit="1" customWidth="1"/>
    <col min="17" max="17" width="9" style="280"/>
    <col min="18" max="28" width="9" style="156"/>
    <col min="29" max="29" width="48.875" style="156" customWidth="1"/>
    <col min="30" max="256" width="9" style="156"/>
    <col min="257" max="257" width="6.25" style="156" customWidth="1"/>
    <col min="258" max="259" width="5.875" style="156" customWidth="1"/>
    <col min="260" max="260" width="10.625" style="156" customWidth="1"/>
    <col min="261" max="261" width="8.375" style="156" customWidth="1"/>
    <col min="262" max="262" width="20" style="156" customWidth="1"/>
    <col min="263" max="263" width="13" style="156" bestFit="1" customWidth="1"/>
    <col min="264" max="264" width="12.125" style="156" customWidth="1"/>
    <col min="265" max="265" width="21.375" style="156" customWidth="1"/>
    <col min="266" max="266" width="5.5" style="156" customWidth="1"/>
    <col min="267" max="267" width="8" style="156" customWidth="1"/>
    <col min="268" max="268" width="12.125" style="156" bestFit="1" customWidth="1"/>
    <col min="269" max="269" width="9" style="156"/>
    <col min="270" max="271" width="11.125" style="156" customWidth="1"/>
    <col min="272" max="272" width="12.5" style="156" bestFit="1" customWidth="1"/>
    <col min="273" max="284" width="9" style="156"/>
    <col min="285" max="285" width="48.875" style="156" customWidth="1"/>
    <col min="286" max="512" width="9" style="156"/>
    <col min="513" max="513" width="6.25" style="156" customWidth="1"/>
    <col min="514" max="515" width="5.875" style="156" customWidth="1"/>
    <col min="516" max="516" width="10.625" style="156" customWidth="1"/>
    <col min="517" max="517" width="8.375" style="156" customWidth="1"/>
    <col min="518" max="518" width="20" style="156" customWidth="1"/>
    <col min="519" max="519" width="13" style="156" bestFit="1" customWidth="1"/>
    <col min="520" max="520" width="12.125" style="156" customWidth="1"/>
    <col min="521" max="521" width="21.375" style="156" customWidth="1"/>
    <col min="522" max="522" width="5.5" style="156" customWidth="1"/>
    <col min="523" max="523" width="8" style="156" customWidth="1"/>
    <col min="524" max="524" width="12.125" style="156" bestFit="1" customWidth="1"/>
    <col min="525" max="525" width="9" style="156"/>
    <col min="526" max="527" width="11.125" style="156" customWidth="1"/>
    <col min="528" max="528" width="12.5" style="156" bestFit="1" customWidth="1"/>
    <col min="529" max="540" width="9" style="156"/>
    <col min="541" max="541" width="48.875" style="156" customWidth="1"/>
    <col min="542" max="768" width="9" style="156"/>
    <col min="769" max="769" width="6.25" style="156" customWidth="1"/>
    <col min="770" max="771" width="5.875" style="156" customWidth="1"/>
    <col min="772" max="772" width="10.625" style="156" customWidth="1"/>
    <col min="773" max="773" width="8.375" style="156" customWidth="1"/>
    <col min="774" max="774" width="20" style="156" customWidth="1"/>
    <col min="775" max="775" width="13" style="156" bestFit="1" customWidth="1"/>
    <col min="776" max="776" width="12.125" style="156" customWidth="1"/>
    <col min="777" max="777" width="21.375" style="156" customWidth="1"/>
    <col min="778" max="778" width="5.5" style="156" customWidth="1"/>
    <col min="779" max="779" width="8" style="156" customWidth="1"/>
    <col min="780" max="780" width="12.125" style="156" bestFit="1" customWidth="1"/>
    <col min="781" max="781" width="9" style="156"/>
    <col min="782" max="783" width="11.125" style="156" customWidth="1"/>
    <col min="784" max="784" width="12.5" style="156" bestFit="1" customWidth="1"/>
    <col min="785" max="796" width="9" style="156"/>
    <col min="797" max="797" width="48.875" style="156" customWidth="1"/>
    <col min="798" max="1024" width="9" style="156"/>
    <col min="1025" max="1025" width="6.25" style="156" customWidth="1"/>
    <col min="1026" max="1027" width="5.875" style="156" customWidth="1"/>
    <col min="1028" max="1028" width="10.625" style="156" customWidth="1"/>
    <col min="1029" max="1029" width="8.375" style="156" customWidth="1"/>
    <col min="1030" max="1030" width="20" style="156" customWidth="1"/>
    <col min="1031" max="1031" width="13" style="156" bestFit="1" customWidth="1"/>
    <col min="1032" max="1032" width="12.125" style="156" customWidth="1"/>
    <col min="1033" max="1033" width="21.375" style="156" customWidth="1"/>
    <col min="1034" max="1034" width="5.5" style="156" customWidth="1"/>
    <col min="1035" max="1035" width="8" style="156" customWidth="1"/>
    <col min="1036" max="1036" width="12.125" style="156" bestFit="1" customWidth="1"/>
    <col min="1037" max="1037" width="9" style="156"/>
    <col min="1038" max="1039" width="11.125" style="156" customWidth="1"/>
    <col min="1040" max="1040" width="12.5" style="156" bestFit="1" customWidth="1"/>
    <col min="1041" max="1052" width="9" style="156"/>
    <col min="1053" max="1053" width="48.875" style="156" customWidth="1"/>
    <col min="1054" max="1280" width="9" style="156"/>
    <col min="1281" max="1281" width="6.25" style="156" customWidth="1"/>
    <col min="1282" max="1283" width="5.875" style="156" customWidth="1"/>
    <col min="1284" max="1284" width="10.625" style="156" customWidth="1"/>
    <col min="1285" max="1285" width="8.375" style="156" customWidth="1"/>
    <col min="1286" max="1286" width="20" style="156" customWidth="1"/>
    <col min="1287" max="1287" width="13" style="156" bestFit="1" customWidth="1"/>
    <col min="1288" max="1288" width="12.125" style="156" customWidth="1"/>
    <col min="1289" max="1289" width="21.375" style="156" customWidth="1"/>
    <col min="1290" max="1290" width="5.5" style="156" customWidth="1"/>
    <col min="1291" max="1291" width="8" style="156" customWidth="1"/>
    <col min="1292" max="1292" width="12.125" style="156" bestFit="1" customWidth="1"/>
    <col min="1293" max="1293" width="9" style="156"/>
    <col min="1294" max="1295" width="11.125" style="156" customWidth="1"/>
    <col min="1296" max="1296" width="12.5" style="156" bestFit="1" customWidth="1"/>
    <col min="1297" max="1308" width="9" style="156"/>
    <col min="1309" max="1309" width="48.875" style="156" customWidth="1"/>
    <col min="1310" max="1536" width="9" style="156"/>
    <col min="1537" max="1537" width="6.25" style="156" customWidth="1"/>
    <col min="1538" max="1539" width="5.875" style="156" customWidth="1"/>
    <col min="1540" max="1540" width="10.625" style="156" customWidth="1"/>
    <col min="1541" max="1541" width="8.375" style="156" customWidth="1"/>
    <col min="1542" max="1542" width="20" style="156" customWidth="1"/>
    <col min="1543" max="1543" width="13" style="156" bestFit="1" customWidth="1"/>
    <col min="1544" max="1544" width="12.125" style="156" customWidth="1"/>
    <col min="1545" max="1545" width="21.375" style="156" customWidth="1"/>
    <col min="1546" max="1546" width="5.5" style="156" customWidth="1"/>
    <col min="1547" max="1547" width="8" style="156" customWidth="1"/>
    <col min="1548" max="1548" width="12.125" style="156" bestFit="1" customWidth="1"/>
    <col min="1549" max="1549" width="9" style="156"/>
    <col min="1550" max="1551" width="11.125" style="156" customWidth="1"/>
    <col min="1552" max="1552" width="12.5" style="156" bestFit="1" customWidth="1"/>
    <col min="1553" max="1564" width="9" style="156"/>
    <col min="1565" max="1565" width="48.875" style="156" customWidth="1"/>
    <col min="1566" max="1792" width="9" style="156"/>
    <col min="1793" max="1793" width="6.25" style="156" customWidth="1"/>
    <col min="1794" max="1795" width="5.875" style="156" customWidth="1"/>
    <col min="1796" max="1796" width="10.625" style="156" customWidth="1"/>
    <col min="1797" max="1797" width="8.375" style="156" customWidth="1"/>
    <col min="1798" max="1798" width="20" style="156" customWidth="1"/>
    <col min="1799" max="1799" width="13" style="156" bestFit="1" customWidth="1"/>
    <col min="1800" max="1800" width="12.125" style="156" customWidth="1"/>
    <col min="1801" max="1801" width="21.375" style="156" customWidth="1"/>
    <col min="1802" max="1802" width="5.5" style="156" customWidth="1"/>
    <col min="1803" max="1803" width="8" style="156" customWidth="1"/>
    <col min="1804" max="1804" width="12.125" style="156" bestFit="1" customWidth="1"/>
    <col min="1805" max="1805" width="9" style="156"/>
    <col min="1806" max="1807" width="11.125" style="156" customWidth="1"/>
    <col min="1808" max="1808" width="12.5" style="156" bestFit="1" customWidth="1"/>
    <col min="1809" max="1820" width="9" style="156"/>
    <col min="1821" max="1821" width="48.875" style="156" customWidth="1"/>
    <col min="1822" max="2048" width="9" style="156"/>
    <col min="2049" max="2049" width="6.25" style="156" customWidth="1"/>
    <col min="2050" max="2051" width="5.875" style="156" customWidth="1"/>
    <col min="2052" max="2052" width="10.625" style="156" customWidth="1"/>
    <col min="2053" max="2053" width="8.375" style="156" customWidth="1"/>
    <col min="2054" max="2054" width="20" style="156" customWidth="1"/>
    <col min="2055" max="2055" width="13" style="156" bestFit="1" customWidth="1"/>
    <col min="2056" max="2056" width="12.125" style="156" customWidth="1"/>
    <col min="2057" max="2057" width="21.375" style="156" customWidth="1"/>
    <col min="2058" max="2058" width="5.5" style="156" customWidth="1"/>
    <col min="2059" max="2059" width="8" style="156" customWidth="1"/>
    <col min="2060" max="2060" width="12.125" style="156" bestFit="1" customWidth="1"/>
    <col min="2061" max="2061" width="9" style="156"/>
    <col min="2062" max="2063" width="11.125" style="156" customWidth="1"/>
    <col min="2064" max="2064" width="12.5" style="156" bestFit="1" customWidth="1"/>
    <col min="2065" max="2076" width="9" style="156"/>
    <col min="2077" max="2077" width="48.875" style="156" customWidth="1"/>
    <col min="2078" max="2304" width="9" style="156"/>
    <col min="2305" max="2305" width="6.25" style="156" customWidth="1"/>
    <col min="2306" max="2307" width="5.875" style="156" customWidth="1"/>
    <col min="2308" max="2308" width="10.625" style="156" customWidth="1"/>
    <col min="2309" max="2309" width="8.375" style="156" customWidth="1"/>
    <col min="2310" max="2310" width="20" style="156" customWidth="1"/>
    <col min="2311" max="2311" width="13" style="156" bestFit="1" customWidth="1"/>
    <col min="2312" max="2312" width="12.125" style="156" customWidth="1"/>
    <col min="2313" max="2313" width="21.375" style="156" customWidth="1"/>
    <col min="2314" max="2314" width="5.5" style="156" customWidth="1"/>
    <col min="2315" max="2315" width="8" style="156" customWidth="1"/>
    <col min="2316" max="2316" width="12.125" style="156" bestFit="1" customWidth="1"/>
    <col min="2317" max="2317" width="9" style="156"/>
    <col min="2318" max="2319" width="11.125" style="156" customWidth="1"/>
    <col min="2320" max="2320" width="12.5" style="156" bestFit="1" customWidth="1"/>
    <col min="2321" max="2332" width="9" style="156"/>
    <col min="2333" max="2333" width="48.875" style="156" customWidth="1"/>
    <col min="2334" max="2560" width="9" style="156"/>
    <col min="2561" max="2561" width="6.25" style="156" customWidth="1"/>
    <col min="2562" max="2563" width="5.875" style="156" customWidth="1"/>
    <col min="2564" max="2564" width="10.625" style="156" customWidth="1"/>
    <col min="2565" max="2565" width="8.375" style="156" customWidth="1"/>
    <col min="2566" max="2566" width="20" style="156" customWidth="1"/>
    <col min="2567" max="2567" width="13" style="156" bestFit="1" customWidth="1"/>
    <col min="2568" max="2568" width="12.125" style="156" customWidth="1"/>
    <col min="2569" max="2569" width="21.375" style="156" customWidth="1"/>
    <col min="2570" max="2570" width="5.5" style="156" customWidth="1"/>
    <col min="2571" max="2571" width="8" style="156" customWidth="1"/>
    <col min="2572" max="2572" width="12.125" style="156" bestFit="1" customWidth="1"/>
    <col min="2573" max="2573" width="9" style="156"/>
    <col min="2574" max="2575" width="11.125" style="156" customWidth="1"/>
    <col min="2576" max="2576" width="12.5" style="156" bestFit="1" customWidth="1"/>
    <col min="2577" max="2588" width="9" style="156"/>
    <col min="2589" max="2589" width="48.875" style="156" customWidth="1"/>
    <col min="2590" max="2816" width="9" style="156"/>
    <col min="2817" max="2817" width="6.25" style="156" customWidth="1"/>
    <col min="2818" max="2819" width="5.875" style="156" customWidth="1"/>
    <col min="2820" max="2820" width="10.625" style="156" customWidth="1"/>
    <col min="2821" max="2821" width="8.375" style="156" customWidth="1"/>
    <col min="2822" max="2822" width="20" style="156" customWidth="1"/>
    <col min="2823" max="2823" width="13" style="156" bestFit="1" customWidth="1"/>
    <col min="2824" max="2824" width="12.125" style="156" customWidth="1"/>
    <col min="2825" max="2825" width="21.375" style="156" customWidth="1"/>
    <col min="2826" max="2826" width="5.5" style="156" customWidth="1"/>
    <col min="2827" max="2827" width="8" style="156" customWidth="1"/>
    <col min="2828" max="2828" width="12.125" style="156" bestFit="1" customWidth="1"/>
    <col min="2829" max="2829" width="9" style="156"/>
    <col min="2830" max="2831" width="11.125" style="156" customWidth="1"/>
    <col min="2832" max="2832" width="12.5" style="156" bestFit="1" customWidth="1"/>
    <col min="2833" max="2844" width="9" style="156"/>
    <col min="2845" max="2845" width="48.875" style="156" customWidth="1"/>
    <col min="2846" max="3072" width="9" style="156"/>
    <col min="3073" max="3073" width="6.25" style="156" customWidth="1"/>
    <col min="3074" max="3075" width="5.875" style="156" customWidth="1"/>
    <col min="3076" max="3076" width="10.625" style="156" customWidth="1"/>
    <col min="3077" max="3077" width="8.375" style="156" customWidth="1"/>
    <col min="3078" max="3078" width="20" style="156" customWidth="1"/>
    <col min="3079" max="3079" width="13" style="156" bestFit="1" customWidth="1"/>
    <col min="3080" max="3080" width="12.125" style="156" customWidth="1"/>
    <col min="3081" max="3081" width="21.375" style="156" customWidth="1"/>
    <col min="3082" max="3082" width="5.5" style="156" customWidth="1"/>
    <col min="3083" max="3083" width="8" style="156" customWidth="1"/>
    <col min="3084" max="3084" width="12.125" style="156" bestFit="1" customWidth="1"/>
    <col min="3085" max="3085" width="9" style="156"/>
    <col min="3086" max="3087" width="11.125" style="156" customWidth="1"/>
    <col min="3088" max="3088" width="12.5" style="156" bestFit="1" customWidth="1"/>
    <col min="3089" max="3100" width="9" style="156"/>
    <col min="3101" max="3101" width="48.875" style="156" customWidth="1"/>
    <col min="3102" max="3328" width="9" style="156"/>
    <col min="3329" max="3329" width="6.25" style="156" customWidth="1"/>
    <col min="3330" max="3331" width="5.875" style="156" customWidth="1"/>
    <col min="3332" max="3332" width="10.625" style="156" customWidth="1"/>
    <col min="3333" max="3333" width="8.375" style="156" customWidth="1"/>
    <col min="3334" max="3334" width="20" style="156" customWidth="1"/>
    <col min="3335" max="3335" width="13" style="156" bestFit="1" customWidth="1"/>
    <col min="3336" max="3336" width="12.125" style="156" customWidth="1"/>
    <col min="3337" max="3337" width="21.375" style="156" customWidth="1"/>
    <col min="3338" max="3338" width="5.5" style="156" customWidth="1"/>
    <col min="3339" max="3339" width="8" style="156" customWidth="1"/>
    <col min="3340" max="3340" width="12.125" style="156" bestFit="1" customWidth="1"/>
    <col min="3341" max="3341" width="9" style="156"/>
    <col min="3342" max="3343" width="11.125" style="156" customWidth="1"/>
    <col min="3344" max="3344" width="12.5" style="156" bestFit="1" customWidth="1"/>
    <col min="3345" max="3356" width="9" style="156"/>
    <col min="3357" max="3357" width="48.875" style="156" customWidth="1"/>
    <col min="3358" max="3584" width="9" style="156"/>
    <col min="3585" max="3585" width="6.25" style="156" customWidth="1"/>
    <col min="3586" max="3587" width="5.875" style="156" customWidth="1"/>
    <col min="3588" max="3588" width="10.625" style="156" customWidth="1"/>
    <col min="3589" max="3589" width="8.375" style="156" customWidth="1"/>
    <col min="3590" max="3590" width="20" style="156" customWidth="1"/>
    <col min="3591" max="3591" width="13" style="156" bestFit="1" customWidth="1"/>
    <col min="3592" max="3592" width="12.125" style="156" customWidth="1"/>
    <col min="3593" max="3593" width="21.375" style="156" customWidth="1"/>
    <col min="3594" max="3594" width="5.5" style="156" customWidth="1"/>
    <col min="3595" max="3595" width="8" style="156" customWidth="1"/>
    <col min="3596" max="3596" width="12.125" style="156" bestFit="1" customWidth="1"/>
    <col min="3597" max="3597" width="9" style="156"/>
    <col min="3598" max="3599" width="11.125" style="156" customWidth="1"/>
    <col min="3600" max="3600" width="12.5" style="156" bestFit="1" customWidth="1"/>
    <col min="3601" max="3612" width="9" style="156"/>
    <col min="3613" max="3613" width="48.875" style="156" customWidth="1"/>
    <col min="3614" max="3840" width="9" style="156"/>
    <col min="3841" max="3841" width="6.25" style="156" customWidth="1"/>
    <col min="3842" max="3843" width="5.875" style="156" customWidth="1"/>
    <col min="3844" max="3844" width="10.625" style="156" customWidth="1"/>
    <col min="3845" max="3845" width="8.375" style="156" customWidth="1"/>
    <col min="3846" max="3846" width="20" style="156" customWidth="1"/>
    <col min="3847" max="3847" width="13" style="156" bestFit="1" customWidth="1"/>
    <col min="3848" max="3848" width="12.125" style="156" customWidth="1"/>
    <col min="3849" max="3849" width="21.375" style="156" customWidth="1"/>
    <col min="3850" max="3850" width="5.5" style="156" customWidth="1"/>
    <col min="3851" max="3851" width="8" style="156" customWidth="1"/>
    <col min="3852" max="3852" width="12.125" style="156" bestFit="1" customWidth="1"/>
    <col min="3853" max="3853" width="9" style="156"/>
    <col min="3854" max="3855" width="11.125" style="156" customWidth="1"/>
    <col min="3856" max="3856" width="12.5" style="156" bestFit="1" customWidth="1"/>
    <col min="3857" max="3868" width="9" style="156"/>
    <col min="3869" max="3869" width="48.875" style="156" customWidth="1"/>
    <col min="3870" max="4096" width="9" style="156"/>
    <col min="4097" max="4097" width="6.25" style="156" customWidth="1"/>
    <col min="4098" max="4099" width="5.875" style="156" customWidth="1"/>
    <col min="4100" max="4100" width="10.625" style="156" customWidth="1"/>
    <col min="4101" max="4101" width="8.375" style="156" customWidth="1"/>
    <col min="4102" max="4102" width="20" style="156" customWidth="1"/>
    <col min="4103" max="4103" width="13" style="156" bestFit="1" customWidth="1"/>
    <col min="4104" max="4104" width="12.125" style="156" customWidth="1"/>
    <col min="4105" max="4105" width="21.375" style="156" customWidth="1"/>
    <col min="4106" max="4106" width="5.5" style="156" customWidth="1"/>
    <col min="4107" max="4107" width="8" style="156" customWidth="1"/>
    <col min="4108" max="4108" width="12.125" style="156" bestFit="1" customWidth="1"/>
    <col min="4109" max="4109" width="9" style="156"/>
    <col min="4110" max="4111" width="11.125" style="156" customWidth="1"/>
    <col min="4112" max="4112" width="12.5" style="156" bestFit="1" customWidth="1"/>
    <col min="4113" max="4124" width="9" style="156"/>
    <col min="4125" max="4125" width="48.875" style="156" customWidth="1"/>
    <col min="4126" max="4352" width="9" style="156"/>
    <col min="4353" max="4353" width="6.25" style="156" customWidth="1"/>
    <col min="4354" max="4355" width="5.875" style="156" customWidth="1"/>
    <col min="4356" max="4356" width="10.625" style="156" customWidth="1"/>
    <col min="4357" max="4357" width="8.375" style="156" customWidth="1"/>
    <col min="4358" max="4358" width="20" style="156" customWidth="1"/>
    <col min="4359" max="4359" width="13" style="156" bestFit="1" customWidth="1"/>
    <col min="4360" max="4360" width="12.125" style="156" customWidth="1"/>
    <col min="4361" max="4361" width="21.375" style="156" customWidth="1"/>
    <col min="4362" max="4362" width="5.5" style="156" customWidth="1"/>
    <col min="4363" max="4363" width="8" style="156" customWidth="1"/>
    <col min="4364" max="4364" width="12.125" style="156" bestFit="1" customWidth="1"/>
    <col min="4365" max="4365" width="9" style="156"/>
    <col min="4366" max="4367" width="11.125" style="156" customWidth="1"/>
    <col min="4368" max="4368" width="12.5" style="156" bestFit="1" customWidth="1"/>
    <col min="4369" max="4380" width="9" style="156"/>
    <col min="4381" max="4381" width="48.875" style="156" customWidth="1"/>
    <col min="4382" max="4608" width="9" style="156"/>
    <col min="4609" max="4609" width="6.25" style="156" customWidth="1"/>
    <col min="4610" max="4611" width="5.875" style="156" customWidth="1"/>
    <col min="4612" max="4612" width="10.625" style="156" customWidth="1"/>
    <col min="4613" max="4613" width="8.375" style="156" customWidth="1"/>
    <col min="4614" max="4614" width="20" style="156" customWidth="1"/>
    <col min="4615" max="4615" width="13" style="156" bestFit="1" customWidth="1"/>
    <col min="4616" max="4616" width="12.125" style="156" customWidth="1"/>
    <col min="4617" max="4617" width="21.375" style="156" customWidth="1"/>
    <col min="4618" max="4618" width="5.5" style="156" customWidth="1"/>
    <col min="4619" max="4619" width="8" style="156" customWidth="1"/>
    <col min="4620" max="4620" width="12.125" style="156" bestFit="1" customWidth="1"/>
    <col min="4621" max="4621" width="9" style="156"/>
    <col min="4622" max="4623" width="11.125" style="156" customWidth="1"/>
    <col min="4624" max="4624" width="12.5" style="156" bestFit="1" customWidth="1"/>
    <col min="4625" max="4636" width="9" style="156"/>
    <col min="4637" max="4637" width="48.875" style="156" customWidth="1"/>
    <col min="4638" max="4864" width="9" style="156"/>
    <col min="4865" max="4865" width="6.25" style="156" customWidth="1"/>
    <col min="4866" max="4867" width="5.875" style="156" customWidth="1"/>
    <col min="4868" max="4868" width="10.625" style="156" customWidth="1"/>
    <col min="4869" max="4869" width="8.375" style="156" customWidth="1"/>
    <col min="4870" max="4870" width="20" style="156" customWidth="1"/>
    <col min="4871" max="4871" width="13" style="156" bestFit="1" customWidth="1"/>
    <col min="4872" max="4872" width="12.125" style="156" customWidth="1"/>
    <col min="4873" max="4873" width="21.375" style="156" customWidth="1"/>
    <col min="4874" max="4874" width="5.5" style="156" customWidth="1"/>
    <col min="4875" max="4875" width="8" style="156" customWidth="1"/>
    <col min="4876" max="4876" width="12.125" style="156" bestFit="1" customWidth="1"/>
    <col min="4877" max="4877" width="9" style="156"/>
    <col min="4878" max="4879" width="11.125" style="156" customWidth="1"/>
    <col min="4880" max="4880" width="12.5" style="156" bestFit="1" customWidth="1"/>
    <col min="4881" max="4892" width="9" style="156"/>
    <col min="4893" max="4893" width="48.875" style="156" customWidth="1"/>
    <col min="4894" max="5120" width="9" style="156"/>
    <col min="5121" max="5121" width="6.25" style="156" customWidth="1"/>
    <col min="5122" max="5123" width="5.875" style="156" customWidth="1"/>
    <col min="5124" max="5124" width="10.625" style="156" customWidth="1"/>
    <col min="5125" max="5125" width="8.375" style="156" customWidth="1"/>
    <col min="5126" max="5126" width="20" style="156" customWidth="1"/>
    <col min="5127" max="5127" width="13" style="156" bestFit="1" customWidth="1"/>
    <col min="5128" max="5128" width="12.125" style="156" customWidth="1"/>
    <col min="5129" max="5129" width="21.375" style="156" customWidth="1"/>
    <col min="5130" max="5130" width="5.5" style="156" customWidth="1"/>
    <col min="5131" max="5131" width="8" style="156" customWidth="1"/>
    <col min="5132" max="5132" width="12.125" style="156" bestFit="1" customWidth="1"/>
    <col min="5133" max="5133" width="9" style="156"/>
    <col min="5134" max="5135" width="11.125" style="156" customWidth="1"/>
    <col min="5136" max="5136" width="12.5" style="156" bestFit="1" customWidth="1"/>
    <col min="5137" max="5148" width="9" style="156"/>
    <col min="5149" max="5149" width="48.875" style="156" customWidth="1"/>
    <col min="5150" max="5376" width="9" style="156"/>
    <col min="5377" max="5377" width="6.25" style="156" customWidth="1"/>
    <col min="5378" max="5379" width="5.875" style="156" customWidth="1"/>
    <col min="5380" max="5380" width="10.625" style="156" customWidth="1"/>
    <col min="5381" max="5381" width="8.375" style="156" customWidth="1"/>
    <col min="5382" max="5382" width="20" style="156" customWidth="1"/>
    <col min="5383" max="5383" width="13" style="156" bestFit="1" customWidth="1"/>
    <col min="5384" max="5384" width="12.125" style="156" customWidth="1"/>
    <col min="5385" max="5385" width="21.375" style="156" customWidth="1"/>
    <col min="5386" max="5386" width="5.5" style="156" customWidth="1"/>
    <col min="5387" max="5387" width="8" style="156" customWidth="1"/>
    <col min="5388" max="5388" width="12.125" style="156" bestFit="1" customWidth="1"/>
    <col min="5389" max="5389" width="9" style="156"/>
    <col min="5390" max="5391" width="11.125" style="156" customWidth="1"/>
    <col min="5392" max="5392" width="12.5" style="156" bestFit="1" customWidth="1"/>
    <col min="5393" max="5404" width="9" style="156"/>
    <col min="5405" max="5405" width="48.875" style="156" customWidth="1"/>
    <col min="5406" max="5632" width="9" style="156"/>
    <col min="5633" max="5633" width="6.25" style="156" customWidth="1"/>
    <col min="5634" max="5635" width="5.875" style="156" customWidth="1"/>
    <col min="5636" max="5636" width="10.625" style="156" customWidth="1"/>
    <col min="5637" max="5637" width="8.375" style="156" customWidth="1"/>
    <col min="5638" max="5638" width="20" style="156" customWidth="1"/>
    <col min="5639" max="5639" width="13" style="156" bestFit="1" customWidth="1"/>
    <col min="5640" max="5640" width="12.125" style="156" customWidth="1"/>
    <col min="5641" max="5641" width="21.375" style="156" customWidth="1"/>
    <col min="5642" max="5642" width="5.5" style="156" customWidth="1"/>
    <col min="5643" max="5643" width="8" style="156" customWidth="1"/>
    <col min="5644" max="5644" width="12.125" style="156" bestFit="1" customWidth="1"/>
    <col min="5645" max="5645" width="9" style="156"/>
    <col min="5646" max="5647" width="11.125" style="156" customWidth="1"/>
    <col min="5648" max="5648" width="12.5" style="156" bestFit="1" customWidth="1"/>
    <col min="5649" max="5660" width="9" style="156"/>
    <col min="5661" max="5661" width="48.875" style="156" customWidth="1"/>
    <col min="5662" max="5888" width="9" style="156"/>
    <col min="5889" max="5889" width="6.25" style="156" customWidth="1"/>
    <col min="5890" max="5891" width="5.875" style="156" customWidth="1"/>
    <col min="5892" max="5892" width="10.625" style="156" customWidth="1"/>
    <col min="5893" max="5893" width="8.375" style="156" customWidth="1"/>
    <col min="5894" max="5894" width="20" style="156" customWidth="1"/>
    <col min="5895" max="5895" width="13" style="156" bestFit="1" customWidth="1"/>
    <col min="5896" max="5896" width="12.125" style="156" customWidth="1"/>
    <col min="5897" max="5897" width="21.375" style="156" customWidth="1"/>
    <col min="5898" max="5898" width="5.5" style="156" customWidth="1"/>
    <col min="5899" max="5899" width="8" style="156" customWidth="1"/>
    <col min="5900" max="5900" width="12.125" style="156" bestFit="1" customWidth="1"/>
    <col min="5901" max="5901" width="9" style="156"/>
    <col min="5902" max="5903" width="11.125" style="156" customWidth="1"/>
    <col min="5904" max="5904" width="12.5" style="156" bestFit="1" customWidth="1"/>
    <col min="5905" max="5916" width="9" style="156"/>
    <col min="5917" max="5917" width="48.875" style="156" customWidth="1"/>
    <col min="5918" max="6144" width="9" style="156"/>
    <col min="6145" max="6145" width="6.25" style="156" customWidth="1"/>
    <col min="6146" max="6147" width="5.875" style="156" customWidth="1"/>
    <col min="6148" max="6148" width="10.625" style="156" customWidth="1"/>
    <col min="6149" max="6149" width="8.375" style="156" customWidth="1"/>
    <col min="6150" max="6150" width="20" style="156" customWidth="1"/>
    <col min="6151" max="6151" width="13" style="156" bestFit="1" customWidth="1"/>
    <col min="6152" max="6152" width="12.125" style="156" customWidth="1"/>
    <col min="6153" max="6153" width="21.375" style="156" customWidth="1"/>
    <col min="6154" max="6154" width="5.5" style="156" customWidth="1"/>
    <col min="6155" max="6155" width="8" style="156" customWidth="1"/>
    <col min="6156" max="6156" width="12.125" style="156" bestFit="1" customWidth="1"/>
    <col min="6157" max="6157" width="9" style="156"/>
    <col min="6158" max="6159" width="11.125" style="156" customWidth="1"/>
    <col min="6160" max="6160" width="12.5" style="156" bestFit="1" customWidth="1"/>
    <col min="6161" max="6172" width="9" style="156"/>
    <col min="6173" max="6173" width="48.875" style="156" customWidth="1"/>
    <col min="6174" max="6400" width="9" style="156"/>
    <col min="6401" max="6401" width="6.25" style="156" customWidth="1"/>
    <col min="6402" max="6403" width="5.875" style="156" customWidth="1"/>
    <col min="6404" max="6404" width="10.625" style="156" customWidth="1"/>
    <col min="6405" max="6405" width="8.375" style="156" customWidth="1"/>
    <col min="6406" max="6406" width="20" style="156" customWidth="1"/>
    <col min="6407" max="6407" width="13" style="156" bestFit="1" customWidth="1"/>
    <col min="6408" max="6408" width="12.125" style="156" customWidth="1"/>
    <col min="6409" max="6409" width="21.375" style="156" customWidth="1"/>
    <col min="6410" max="6410" width="5.5" style="156" customWidth="1"/>
    <col min="6411" max="6411" width="8" style="156" customWidth="1"/>
    <col min="6412" max="6412" width="12.125" style="156" bestFit="1" customWidth="1"/>
    <col min="6413" max="6413" width="9" style="156"/>
    <col min="6414" max="6415" width="11.125" style="156" customWidth="1"/>
    <col min="6416" max="6416" width="12.5" style="156" bestFit="1" customWidth="1"/>
    <col min="6417" max="6428" width="9" style="156"/>
    <col min="6429" max="6429" width="48.875" style="156" customWidth="1"/>
    <col min="6430" max="6656" width="9" style="156"/>
    <col min="6657" max="6657" width="6.25" style="156" customWidth="1"/>
    <col min="6658" max="6659" width="5.875" style="156" customWidth="1"/>
    <col min="6660" max="6660" width="10.625" style="156" customWidth="1"/>
    <col min="6661" max="6661" width="8.375" style="156" customWidth="1"/>
    <col min="6662" max="6662" width="20" style="156" customWidth="1"/>
    <col min="6663" max="6663" width="13" style="156" bestFit="1" customWidth="1"/>
    <col min="6664" max="6664" width="12.125" style="156" customWidth="1"/>
    <col min="6665" max="6665" width="21.375" style="156" customWidth="1"/>
    <col min="6666" max="6666" width="5.5" style="156" customWidth="1"/>
    <col min="6667" max="6667" width="8" style="156" customWidth="1"/>
    <col min="6668" max="6668" width="12.125" style="156" bestFit="1" customWidth="1"/>
    <col min="6669" max="6669" width="9" style="156"/>
    <col min="6670" max="6671" width="11.125" style="156" customWidth="1"/>
    <col min="6672" max="6672" width="12.5" style="156" bestFit="1" customWidth="1"/>
    <col min="6673" max="6684" width="9" style="156"/>
    <col min="6685" max="6685" width="48.875" style="156" customWidth="1"/>
    <col min="6686" max="6912" width="9" style="156"/>
    <col min="6913" max="6913" width="6.25" style="156" customWidth="1"/>
    <col min="6914" max="6915" width="5.875" style="156" customWidth="1"/>
    <col min="6916" max="6916" width="10.625" style="156" customWidth="1"/>
    <col min="6917" max="6917" width="8.375" style="156" customWidth="1"/>
    <col min="6918" max="6918" width="20" style="156" customWidth="1"/>
    <col min="6919" max="6919" width="13" style="156" bestFit="1" customWidth="1"/>
    <col min="6920" max="6920" width="12.125" style="156" customWidth="1"/>
    <col min="6921" max="6921" width="21.375" style="156" customWidth="1"/>
    <col min="6922" max="6922" width="5.5" style="156" customWidth="1"/>
    <col min="6923" max="6923" width="8" style="156" customWidth="1"/>
    <col min="6924" max="6924" width="12.125" style="156" bestFit="1" customWidth="1"/>
    <col min="6925" max="6925" width="9" style="156"/>
    <col min="6926" max="6927" width="11.125" style="156" customWidth="1"/>
    <col min="6928" max="6928" width="12.5" style="156" bestFit="1" customWidth="1"/>
    <col min="6929" max="6940" width="9" style="156"/>
    <col min="6941" max="6941" width="48.875" style="156" customWidth="1"/>
    <col min="6942" max="7168" width="9" style="156"/>
    <col min="7169" max="7169" width="6.25" style="156" customWidth="1"/>
    <col min="7170" max="7171" width="5.875" style="156" customWidth="1"/>
    <col min="7172" max="7172" width="10.625" style="156" customWidth="1"/>
    <col min="7173" max="7173" width="8.375" style="156" customWidth="1"/>
    <col min="7174" max="7174" width="20" style="156" customWidth="1"/>
    <col min="7175" max="7175" width="13" style="156" bestFit="1" customWidth="1"/>
    <col min="7176" max="7176" width="12.125" style="156" customWidth="1"/>
    <col min="7177" max="7177" width="21.375" style="156" customWidth="1"/>
    <col min="7178" max="7178" width="5.5" style="156" customWidth="1"/>
    <col min="7179" max="7179" width="8" style="156" customWidth="1"/>
    <col min="7180" max="7180" width="12.125" style="156" bestFit="1" customWidth="1"/>
    <col min="7181" max="7181" width="9" style="156"/>
    <col min="7182" max="7183" width="11.125" style="156" customWidth="1"/>
    <col min="7184" max="7184" width="12.5" style="156" bestFit="1" customWidth="1"/>
    <col min="7185" max="7196" width="9" style="156"/>
    <col min="7197" max="7197" width="48.875" style="156" customWidth="1"/>
    <col min="7198" max="7424" width="9" style="156"/>
    <col min="7425" max="7425" width="6.25" style="156" customWidth="1"/>
    <col min="7426" max="7427" width="5.875" style="156" customWidth="1"/>
    <col min="7428" max="7428" width="10.625" style="156" customWidth="1"/>
    <col min="7429" max="7429" width="8.375" style="156" customWidth="1"/>
    <col min="7430" max="7430" width="20" style="156" customWidth="1"/>
    <col min="7431" max="7431" width="13" style="156" bestFit="1" customWidth="1"/>
    <col min="7432" max="7432" width="12.125" style="156" customWidth="1"/>
    <col min="7433" max="7433" width="21.375" style="156" customWidth="1"/>
    <col min="7434" max="7434" width="5.5" style="156" customWidth="1"/>
    <col min="7435" max="7435" width="8" style="156" customWidth="1"/>
    <col min="7436" max="7436" width="12.125" style="156" bestFit="1" customWidth="1"/>
    <col min="7437" max="7437" width="9" style="156"/>
    <col min="7438" max="7439" width="11.125" style="156" customWidth="1"/>
    <col min="7440" max="7440" width="12.5" style="156" bestFit="1" customWidth="1"/>
    <col min="7441" max="7452" width="9" style="156"/>
    <col min="7453" max="7453" width="48.875" style="156" customWidth="1"/>
    <col min="7454" max="7680" width="9" style="156"/>
    <col min="7681" max="7681" width="6.25" style="156" customWidth="1"/>
    <col min="7682" max="7683" width="5.875" style="156" customWidth="1"/>
    <col min="7684" max="7684" width="10.625" style="156" customWidth="1"/>
    <col min="7685" max="7685" width="8.375" style="156" customWidth="1"/>
    <col min="7686" max="7686" width="20" style="156" customWidth="1"/>
    <col min="7687" max="7687" width="13" style="156" bestFit="1" customWidth="1"/>
    <col min="7688" max="7688" width="12.125" style="156" customWidth="1"/>
    <col min="7689" max="7689" width="21.375" style="156" customWidth="1"/>
    <col min="7690" max="7690" width="5.5" style="156" customWidth="1"/>
    <col min="7691" max="7691" width="8" style="156" customWidth="1"/>
    <col min="7692" max="7692" width="12.125" style="156" bestFit="1" customWidth="1"/>
    <col min="7693" max="7693" width="9" style="156"/>
    <col min="7694" max="7695" width="11.125" style="156" customWidth="1"/>
    <col min="7696" max="7696" width="12.5" style="156" bestFit="1" customWidth="1"/>
    <col min="7697" max="7708" width="9" style="156"/>
    <col min="7709" max="7709" width="48.875" style="156" customWidth="1"/>
    <col min="7710" max="7936" width="9" style="156"/>
    <col min="7937" max="7937" width="6.25" style="156" customWidth="1"/>
    <col min="7938" max="7939" width="5.875" style="156" customWidth="1"/>
    <col min="7940" max="7940" width="10.625" style="156" customWidth="1"/>
    <col min="7941" max="7941" width="8.375" style="156" customWidth="1"/>
    <col min="7942" max="7942" width="20" style="156" customWidth="1"/>
    <col min="7943" max="7943" width="13" style="156" bestFit="1" customWidth="1"/>
    <col min="7944" max="7944" width="12.125" style="156" customWidth="1"/>
    <col min="7945" max="7945" width="21.375" style="156" customWidth="1"/>
    <col min="7946" max="7946" width="5.5" style="156" customWidth="1"/>
    <col min="7947" max="7947" width="8" style="156" customWidth="1"/>
    <col min="7948" max="7948" width="12.125" style="156" bestFit="1" customWidth="1"/>
    <col min="7949" max="7949" width="9" style="156"/>
    <col min="7950" max="7951" width="11.125" style="156" customWidth="1"/>
    <col min="7952" max="7952" width="12.5" style="156" bestFit="1" customWidth="1"/>
    <col min="7953" max="7964" width="9" style="156"/>
    <col min="7965" max="7965" width="48.875" style="156" customWidth="1"/>
    <col min="7966" max="8192" width="9" style="156"/>
    <col min="8193" max="8193" width="6.25" style="156" customWidth="1"/>
    <col min="8194" max="8195" width="5.875" style="156" customWidth="1"/>
    <col min="8196" max="8196" width="10.625" style="156" customWidth="1"/>
    <col min="8197" max="8197" width="8.375" style="156" customWidth="1"/>
    <col min="8198" max="8198" width="20" style="156" customWidth="1"/>
    <col min="8199" max="8199" width="13" style="156" bestFit="1" customWidth="1"/>
    <col min="8200" max="8200" width="12.125" style="156" customWidth="1"/>
    <col min="8201" max="8201" width="21.375" style="156" customWidth="1"/>
    <col min="8202" max="8202" width="5.5" style="156" customWidth="1"/>
    <col min="8203" max="8203" width="8" style="156" customWidth="1"/>
    <col min="8204" max="8204" width="12.125" style="156" bestFit="1" customWidth="1"/>
    <col min="8205" max="8205" width="9" style="156"/>
    <col min="8206" max="8207" width="11.125" style="156" customWidth="1"/>
    <col min="8208" max="8208" width="12.5" style="156" bestFit="1" customWidth="1"/>
    <col min="8209" max="8220" width="9" style="156"/>
    <col min="8221" max="8221" width="48.875" style="156" customWidth="1"/>
    <col min="8222" max="8448" width="9" style="156"/>
    <col min="8449" max="8449" width="6.25" style="156" customWidth="1"/>
    <col min="8450" max="8451" width="5.875" style="156" customWidth="1"/>
    <col min="8452" max="8452" width="10.625" style="156" customWidth="1"/>
    <col min="8453" max="8453" width="8.375" style="156" customWidth="1"/>
    <col min="8454" max="8454" width="20" style="156" customWidth="1"/>
    <col min="8455" max="8455" width="13" style="156" bestFit="1" customWidth="1"/>
    <col min="8456" max="8456" width="12.125" style="156" customWidth="1"/>
    <col min="8457" max="8457" width="21.375" style="156" customWidth="1"/>
    <col min="8458" max="8458" width="5.5" style="156" customWidth="1"/>
    <col min="8459" max="8459" width="8" style="156" customWidth="1"/>
    <col min="8460" max="8460" width="12.125" style="156" bestFit="1" customWidth="1"/>
    <col min="8461" max="8461" width="9" style="156"/>
    <col min="8462" max="8463" width="11.125" style="156" customWidth="1"/>
    <col min="8464" max="8464" width="12.5" style="156" bestFit="1" customWidth="1"/>
    <col min="8465" max="8476" width="9" style="156"/>
    <col min="8477" max="8477" width="48.875" style="156" customWidth="1"/>
    <col min="8478" max="8704" width="9" style="156"/>
    <col min="8705" max="8705" width="6.25" style="156" customWidth="1"/>
    <col min="8706" max="8707" width="5.875" style="156" customWidth="1"/>
    <col min="8708" max="8708" width="10.625" style="156" customWidth="1"/>
    <col min="8709" max="8709" width="8.375" style="156" customWidth="1"/>
    <col min="8710" max="8710" width="20" style="156" customWidth="1"/>
    <col min="8711" max="8711" width="13" style="156" bestFit="1" customWidth="1"/>
    <col min="8712" max="8712" width="12.125" style="156" customWidth="1"/>
    <col min="8713" max="8713" width="21.375" style="156" customWidth="1"/>
    <col min="8714" max="8714" width="5.5" style="156" customWidth="1"/>
    <col min="8715" max="8715" width="8" style="156" customWidth="1"/>
    <col min="8716" max="8716" width="12.125" style="156" bestFit="1" customWidth="1"/>
    <col min="8717" max="8717" width="9" style="156"/>
    <col min="8718" max="8719" width="11.125" style="156" customWidth="1"/>
    <col min="8720" max="8720" width="12.5" style="156" bestFit="1" customWidth="1"/>
    <col min="8721" max="8732" width="9" style="156"/>
    <col min="8733" max="8733" width="48.875" style="156" customWidth="1"/>
    <col min="8734" max="8960" width="9" style="156"/>
    <col min="8961" max="8961" width="6.25" style="156" customWidth="1"/>
    <col min="8962" max="8963" width="5.875" style="156" customWidth="1"/>
    <col min="8964" max="8964" width="10.625" style="156" customWidth="1"/>
    <col min="8965" max="8965" width="8.375" style="156" customWidth="1"/>
    <col min="8966" max="8966" width="20" style="156" customWidth="1"/>
    <col min="8967" max="8967" width="13" style="156" bestFit="1" customWidth="1"/>
    <col min="8968" max="8968" width="12.125" style="156" customWidth="1"/>
    <col min="8969" max="8969" width="21.375" style="156" customWidth="1"/>
    <col min="8970" max="8970" width="5.5" style="156" customWidth="1"/>
    <col min="8971" max="8971" width="8" style="156" customWidth="1"/>
    <col min="8972" max="8972" width="12.125" style="156" bestFit="1" customWidth="1"/>
    <col min="8973" max="8973" width="9" style="156"/>
    <col min="8974" max="8975" width="11.125" style="156" customWidth="1"/>
    <col min="8976" max="8976" width="12.5" style="156" bestFit="1" customWidth="1"/>
    <col min="8977" max="8988" width="9" style="156"/>
    <col min="8989" max="8989" width="48.875" style="156" customWidth="1"/>
    <col min="8990" max="9216" width="9" style="156"/>
    <col min="9217" max="9217" width="6.25" style="156" customWidth="1"/>
    <col min="9218" max="9219" width="5.875" style="156" customWidth="1"/>
    <col min="9220" max="9220" width="10.625" style="156" customWidth="1"/>
    <col min="9221" max="9221" width="8.375" style="156" customWidth="1"/>
    <col min="9222" max="9222" width="20" style="156" customWidth="1"/>
    <col min="9223" max="9223" width="13" style="156" bestFit="1" customWidth="1"/>
    <col min="9224" max="9224" width="12.125" style="156" customWidth="1"/>
    <col min="9225" max="9225" width="21.375" style="156" customWidth="1"/>
    <col min="9226" max="9226" width="5.5" style="156" customWidth="1"/>
    <col min="9227" max="9227" width="8" style="156" customWidth="1"/>
    <col min="9228" max="9228" width="12.125" style="156" bestFit="1" customWidth="1"/>
    <col min="9229" max="9229" width="9" style="156"/>
    <col min="9230" max="9231" width="11.125" style="156" customWidth="1"/>
    <col min="9232" max="9232" width="12.5" style="156" bestFit="1" customWidth="1"/>
    <col min="9233" max="9244" width="9" style="156"/>
    <col min="9245" max="9245" width="48.875" style="156" customWidth="1"/>
    <col min="9246" max="9472" width="9" style="156"/>
    <col min="9473" max="9473" width="6.25" style="156" customWidth="1"/>
    <col min="9474" max="9475" width="5.875" style="156" customWidth="1"/>
    <col min="9476" max="9476" width="10.625" style="156" customWidth="1"/>
    <col min="9477" max="9477" width="8.375" style="156" customWidth="1"/>
    <col min="9478" max="9478" width="20" style="156" customWidth="1"/>
    <col min="9479" max="9479" width="13" style="156" bestFit="1" customWidth="1"/>
    <col min="9480" max="9480" width="12.125" style="156" customWidth="1"/>
    <col min="9481" max="9481" width="21.375" style="156" customWidth="1"/>
    <col min="9482" max="9482" width="5.5" style="156" customWidth="1"/>
    <col min="9483" max="9483" width="8" style="156" customWidth="1"/>
    <col min="9484" max="9484" width="12.125" style="156" bestFit="1" customWidth="1"/>
    <col min="9485" max="9485" width="9" style="156"/>
    <col min="9486" max="9487" width="11.125" style="156" customWidth="1"/>
    <col min="9488" max="9488" width="12.5" style="156" bestFit="1" customWidth="1"/>
    <col min="9489" max="9500" width="9" style="156"/>
    <col min="9501" max="9501" width="48.875" style="156" customWidth="1"/>
    <col min="9502" max="9728" width="9" style="156"/>
    <col min="9729" max="9729" width="6.25" style="156" customWidth="1"/>
    <col min="9730" max="9731" width="5.875" style="156" customWidth="1"/>
    <col min="9732" max="9732" width="10.625" style="156" customWidth="1"/>
    <col min="9733" max="9733" width="8.375" style="156" customWidth="1"/>
    <col min="9734" max="9734" width="20" style="156" customWidth="1"/>
    <col min="9735" max="9735" width="13" style="156" bestFit="1" customWidth="1"/>
    <col min="9736" max="9736" width="12.125" style="156" customWidth="1"/>
    <col min="9737" max="9737" width="21.375" style="156" customWidth="1"/>
    <col min="9738" max="9738" width="5.5" style="156" customWidth="1"/>
    <col min="9739" max="9739" width="8" style="156" customWidth="1"/>
    <col min="9740" max="9740" width="12.125" style="156" bestFit="1" customWidth="1"/>
    <col min="9741" max="9741" width="9" style="156"/>
    <col min="9742" max="9743" width="11.125" style="156" customWidth="1"/>
    <col min="9744" max="9744" width="12.5" style="156" bestFit="1" customWidth="1"/>
    <col min="9745" max="9756" width="9" style="156"/>
    <col min="9757" max="9757" width="48.875" style="156" customWidth="1"/>
    <col min="9758" max="9984" width="9" style="156"/>
    <col min="9985" max="9985" width="6.25" style="156" customWidth="1"/>
    <col min="9986" max="9987" width="5.875" style="156" customWidth="1"/>
    <col min="9988" max="9988" width="10.625" style="156" customWidth="1"/>
    <col min="9989" max="9989" width="8.375" style="156" customWidth="1"/>
    <col min="9990" max="9990" width="20" style="156" customWidth="1"/>
    <col min="9991" max="9991" width="13" style="156" bestFit="1" customWidth="1"/>
    <col min="9992" max="9992" width="12.125" style="156" customWidth="1"/>
    <col min="9993" max="9993" width="21.375" style="156" customWidth="1"/>
    <col min="9994" max="9994" width="5.5" style="156" customWidth="1"/>
    <col min="9995" max="9995" width="8" style="156" customWidth="1"/>
    <col min="9996" max="9996" width="12.125" style="156" bestFit="1" customWidth="1"/>
    <col min="9997" max="9997" width="9" style="156"/>
    <col min="9998" max="9999" width="11.125" style="156" customWidth="1"/>
    <col min="10000" max="10000" width="12.5" style="156" bestFit="1" customWidth="1"/>
    <col min="10001" max="10012" width="9" style="156"/>
    <col min="10013" max="10013" width="48.875" style="156" customWidth="1"/>
    <col min="10014" max="10240" width="9" style="156"/>
    <col min="10241" max="10241" width="6.25" style="156" customWidth="1"/>
    <col min="10242" max="10243" width="5.875" style="156" customWidth="1"/>
    <col min="10244" max="10244" width="10.625" style="156" customWidth="1"/>
    <col min="10245" max="10245" width="8.375" style="156" customWidth="1"/>
    <col min="10246" max="10246" width="20" style="156" customWidth="1"/>
    <col min="10247" max="10247" width="13" style="156" bestFit="1" customWidth="1"/>
    <col min="10248" max="10248" width="12.125" style="156" customWidth="1"/>
    <col min="10249" max="10249" width="21.375" style="156" customWidth="1"/>
    <col min="10250" max="10250" width="5.5" style="156" customWidth="1"/>
    <col min="10251" max="10251" width="8" style="156" customWidth="1"/>
    <col min="10252" max="10252" width="12.125" style="156" bestFit="1" customWidth="1"/>
    <col min="10253" max="10253" width="9" style="156"/>
    <col min="10254" max="10255" width="11.125" style="156" customWidth="1"/>
    <col min="10256" max="10256" width="12.5" style="156" bestFit="1" customWidth="1"/>
    <col min="10257" max="10268" width="9" style="156"/>
    <col min="10269" max="10269" width="48.875" style="156" customWidth="1"/>
    <col min="10270" max="10496" width="9" style="156"/>
    <col min="10497" max="10497" width="6.25" style="156" customWidth="1"/>
    <col min="10498" max="10499" width="5.875" style="156" customWidth="1"/>
    <col min="10500" max="10500" width="10.625" style="156" customWidth="1"/>
    <col min="10501" max="10501" width="8.375" style="156" customWidth="1"/>
    <col min="10502" max="10502" width="20" style="156" customWidth="1"/>
    <col min="10503" max="10503" width="13" style="156" bestFit="1" customWidth="1"/>
    <col min="10504" max="10504" width="12.125" style="156" customWidth="1"/>
    <col min="10505" max="10505" width="21.375" style="156" customWidth="1"/>
    <col min="10506" max="10506" width="5.5" style="156" customWidth="1"/>
    <col min="10507" max="10507" width="8" style="156" customWidth="1"/>
    <col min="10508" max="10508" width="12.125" style="156" bestFit="1" customWidth="1"/>
    <col min="10509" max="10509" width="9" style="156"/>
    <col min="10510" max="10511" width="11.125" style="156" customWidth="1"/>
    <col min="10512" max="10512" width="12.5" style="156" bestFit="1" customWidth="1"/>
    <col min="10513" max="10524" width="9" style="156"/>
    <col min="10525" max="10525" width="48.875" style="156" customWidth="1"/>
    <col min="10526" max="10752" width="9" style="156"/>
    <col min="10753" max="10753" width="6.25" style="156" customWidth="1"/>
    <col min="10754" max="10755" width="5.875" style="156" customWidth="1"/>
    <col min="10756" max="10756" width="10.625" style="156" customWidth="1"/>
    <col min="10757" max="10757" width="8.375" style="156" customWidth="1"/>
    <col min="10758" max="10758" width="20" style="156" customWidth="1"/>
    <col min="10759" max="10759" width="13" style="156" bestFit="1" customWidth="1"/>
    <col min="10760" max="10760" width="12.125" style="156" customWidth="1"/>
    <col min="10761" max="10761" width="21.375" style="156" customWidth="1"/>
    <col min="10762" max="10762" width="5.5" style="156" customWidth="1"/>
    <col min="10763" max="10763" width="8" style="156" customWidth="1"/>
    <col min="10764" max="10764" width="12.125" style="156" bestFit="1" customWidth="1"/>
    <col min="10765" max="10765" width="9" style="156"/>
    <col min="10766" max="10767" width="11.125" style="156" customWidth="1"/>
    <col min="10768" max="10768" width="12.5" style="156" bestFit="1" customWidth="1"/>
    <col min="10769" max="10780" width="9" style="156"/>
    <col min="10781" max="10781" width="48.875" style="156" customWidth="1"/>
    <col min="10782" max="11008" width="9" style="156"/>
    <col min="11009" max="11009" width="6.25" style="156" customWidth="1"/>
    <col min="11010" max="11011" width="5.875" style="156" customWidth="1"/>
    <col min="11012" max="11012" width="10.625" style="156" customWidth="1"/>
    <col min="11013" max="11013" width="8.375" style="156" customWidth="1"/>
    <col min="11014" max="11014" width="20" style="156" customWidth="1"/>
    <col min="11015" max="11015" width="13" style="156" bestFit="1" customWidth="1"/>
    <col min="11016" max="11016" width="12.125" style="156" customWidth="1"/>
    <col min="11017" max="11017" width="21.375" style="156" customWidth="1"/>
    <col min="11018" max="11018" width="5.5" style="156" customWidth="1"/>
    <col min="11019" max="11019" width="8" style="156" customWidth="1"/>
    <col min="11020" max="11020" width="12.125" style="156" bestFit="1" customWidth="1"/>
    <col min="11021" max="11021" width="9" style="156"/>
    <col min="11022" max="11023" width="11.125" style="156" customWidth="1"/>
    <col min="11024" max="11024" width="12.5" style="156" bestFit="1" customWidth="1"/>
    <col min="11025" max="11036" width="9" style="156"/>
    <col min="11037" max="11037" width="48.875" style="156" customWidth="1"/>
    <col min="11038" max="11264" width="9" style="156"/>
    <col min="11265" max="11265" width="6.25" style="156" customWidth="1"/>
    <col min="11266" max="11267" width="5.875" style="156" customWidth="1"/>
    <col min="11268" max="11268" width="10.625" style="156" customWidth="1"/>
    <col min="11269" max="11269" width="8.375" style="156" customWidth="1"/>
    <col min="11270" max="11270" width="20" style="156" customWidth="1"/>
    <col min="11271" max="11271" width="13" style="156" bestFit="1" customWidth="1"/>
    <col min="11272" max="11272" width="12.125" style="156" customWidth="1"/>
    <col min="11273" max="11273" width="21.375" style="156" customWidth="1"/>
    <col min="11274" max="11274" width="5.5" style="156" customWidth="1"/>
    <col min="11275" max="11275" width="8" style="156" customWidth="1"/>
    <col min="11276" max="11276" width="12.125" style="156" bestFit="1" customWidth="1"/>
    <col min="11277" max="11277" width="9" style="156"/>
    <col min="11278" max="11279" width="11.125" style="156" customWidth="1"/>
    <col min="11280" max="11280" width="12.5" style="156" bestFit="1" customWidth="1"/>
    <col min="11281" max="11292" width="9" style="156"/>
    <col min="11293" max="11293" width="48.875" style="156" customWidth="1"/>
    <col min="11294" max="11520" width="9" style="156"/>
    <col min="11521" max="11521" width="6.25" style="156" customWidth="1"/>
    <col min="11522" max="11523" width="5.875" style="156" customWidth="1"/>
    <col min="11524" max="11524" width="10.625" style="156" customWidth="1"/>
    <col min="11525" max="11525" width="8.375" style="156" customWidth="1"/>
    <col min="11526" max="11526" width="20" style="156" customWidth="1"/>
    <col min="11527" max="11527" width="13" style="156" bestFit="1" customWidth="1"/>
    <col min="11528" max="11528" width="12.125" style="156" customWidth="1"/>
    <col min="11529" max="11529" width="21.375" style="156" customWidth="1"/>
    <col min="11530" max="11530" width="5.5" style="156" customWidth="1"/>
    <col min="11531" max="11531" width="8" style="156" customWidth="1"/>
    <col min="11532" max="11532" width="12.125" style="156" bestFit="1" customWidth="1"/>
    <col min="11533" max="11533" width="9" style="156"/>
    <col min="11534" max="11535" width="11.125" style="156" customWidth="1"/>
    <col min="11536" max="11536" width="12.5" style="156" bestFit="1" customWidth="1"/>
    <col min="11537" max="11548" width="9" style="156"/>
    <col min="11549" max="11549" width="48.875" style="156" customWidth="1"/>
    <col min="11550" max="11776" width="9" style="156"/>
    <col min="11777" max="11777" width="6.25" style="156" customWidth="1"/>
    <col min="11778" max="11779" width="5.875" style="156" customWidth="1"/>
    <col min="11780" max="11780" width="10.625" style="156" customWidth="1"/>
    <col min="11781" max="11781" width="8.375" style="156" customWidth="1"/>
    <col min="11782" max="11782" width="20" style="156" customWidth="1"/>
    <col min="11783" max="11783" width="13" style="156" bestFit="1" customWidth="1"/>
    <col min="11784" max="11784" width="12.125" style="156" customWidth="1"/>
    <col min="11785" max="11785" width="21.375" style="156" customWidth="1"/>
    <col min="11786" max="11786" width="5.5" style="156" customWidth="1"/>
    <col min="11787" max="11787" width="8" style="156" customWidth="1"/>
    <col min="11788" max="11788" width="12.125" style="156" bestFit="1" customWidth="1"/>
    <col min="11789" max="11789" width="9" style="156"/>
    <col min="11790" max="11791" width="11.125" style="156" customWidth="1"/>
    <col min="11792" max="11792" width="12.5" style="156" bestFit="1" customWidth="1"/>
    <col min="11793" max="11804" width="9" style="156"/>
    <col min="11805" max="11805" width="48.875" style="156" customWidth="1"/>
    <col min="11806" max="12032" width="9" style="156"/>
    <col min="12033" max="12033" width="6.25" style="156" customWidth="1"/>
    <col min="12034" max="12035" width="5.875" style="156" customWidth="1"/>
    <col min="12036" max="12036" width="10.625" style="156" customWidth="1"/>
    <col min="12037" max="12037" width="8.375" style="156" customWidth="1"/>
    <col min="12038" max="12038" width="20" style="156" customWidth="1"/>
    <col min="12039" max="12039" width="13" style="156" bestFit="1" customWidth="1"/>
    <col min="12040" max="12040" width="12.125" style="156" customWidth="1"/>
    <col min="12041" max="12041" width="21.375" style="156" customWidth="1"/>
    <col min="12042" max="12042" width="5.5" style="156" customWidth="1"/>
    <col min="12043" max="12043" width="8" style="156" customWidth="1"/>
    <col min="12044" max="12044" width="12.125" style="156" bestFit="1" customWidth="1"/>
    <col min="12045" max="12045" width="9" style="156"/>
    <col min="12046" max="12047" width="11.125" style="156" customWidth="1"/>
    <col min="12048" max="12048" width="12.5" style="156" bestFit="1" customWidth="1"/>
    <col min="12049" max="12060" width="9" style="156"/>
    <col min="12061" max="12061" width="48.875" style="156" customWidth="1"/>
    <col min="12062" max="12288" width="9" style="156"/>
    <col min="12289" max="12289" width="6.25" style="156" customWidth="1"/>
    <col min="12290" max="12291" width="5.875" style="156" customWidth="1"/>
    <col min="12292" max="12292" width="10.625" style="156" customWidth="1"/>
    <col min="12293" max="12293" width="8.375" style="156" customWidth="1"/>
    <col min="12294" max="12294" width="20" style="156" customWidth="1"/>
    <col min="12295" max="12295" width="13" style="156" bestFit="1" customWidth="1"/>
    <col min="12296" max="12296" width="12.125" style="156" customWidth="1"/>
    <col min="12297" max="12297" width="21.375" style="156" customWidth="1"/>
    <col min="12298" max="12298" width="5.5" style="156" customWidth="1"/>
    <col min="12299" max="12299" width="8" style="156" customWidth="1"/>
    <col min="12300" max="12300" width="12.125" style="156" bestFit="1" customWidth="1"/>
    <col min="12301" max="12301" width="9" style="156"/>
    <col min="12302" max="12303" width="11.125" style="156" customWidth="1"/>
    <col min="12304" max="12304" width="12.5" style="156" bestFit="1" customWidth="1"/>
    <col min="12305" max="12316" width="9" style="156"/>
    <col min="12317" max="12317" width="48.875" style="156" customWidth="1"/>
    <col min="12318" max="12544" width="9" style="156"/>
    <col min="12545" max="12545" width="6.25" style="156" customWidth="1"/>
    <col min="12546" max="12547" width="5.875" style="156" customWidth="1"/>
    <col min="12548" max="12548" width="10.625" style="156" customWidth="1"/>
    <col min="12549" max="12549" width="8.375" style="156" customWidth="1"/>
    <col min="12550" max="12550" width="20" style="156" customWidth="1"/>
    <col min="12551" max="12551" width="13" style="156" bestFit="1" customWidth="1"/>
    <col min="12552" max="12552" width="12.125" style="156" customWidth="1"/>
    <col min="12553" max="12553" width="21.375" style="156" customWidth="1"/>
    <col min="12554" max="12554" width="5.5" style="156" customWidth="1"/>
    <col min="12555" max="12555" width="8" style="156" customWidth="1"/>
    <col min="12556" max="12556" width="12.125" style="156" bestFit="1" customWidth="1"/>
    <col min="12557" max="12557" width="9" style="156"/>
    <col min="12558" max="12559" width="11.125" style="156" customWidth="1"/>
    <col min="12560" max="12560" width="12.5" style="156" bestFit="1" customWidth="1"/>
    <col min="12561" max="12572" width="9" style="156"/>
    <col min="12573" max="12573" width="48.875" style="156" customWidth="1"/>
    <col min="12574" max="12800" width="9" style="156"/>
    <col min="12801" max="12801" width="6.25" style="156" customWidth="1"/>
    <col min="12802" max="12803" width="5.875" style="156" customWidth="1"/>
    <col min="12804" max="12804" width="10.625" style="156" customWidth="1"/>
    <col min="12805" max="12805" width="8.375" style="156" customWidth="1"/>
    <col min="12806" max="12806" width="20" style="156" customWidth="1"/>
    <col min="12807" max="12807" width="13" style="156" bestFit="1" customWidth="1"/>
    <col min="12808" max="12808" width="12.125" style="156" customWidth="1"/>
    <col min="12809" max="12809" width="21.375" style="156" customWidth="1"/>
    <col min="12810" max="12810" width="5.5" style="156" customWidth="1"/>
    <col min="12811" max="12811" width="8" style="156" customWidth="1"/>
    <col min="12812" max="12812" width="12.125" style="156" bestFit="1" customWidth="1"/>
    <col min="12813" max="12813" width="9" style="156"/>
    <col min="12814" max="12815" width="11.125" style="156" customWidth="1"/>
    <col min="12816" max="12816" width="12.5" style="156" bestFit="1" customWidth="1"/>
    <col min="12817" max="12828" width="9" style="156"/>
    <col min="12829" max="12829" width="48.875" style="156" customWidth="1"/>
    <col min="12830" max="13056" width="9" style="156"/>
    <col min="13057" max="13057" width="6.25" style="156" customWidth="1"/>
    <col min="13058" max="13059" width="5.875" style="156" customWidth="1"/>
    <col min="13060" max="13060" width="10.625" style="156" customWidth="1"/>
    <col min="13061" max="13061" width="8.375" style="156" customWidth="1"/>
    <col min="13062" max="13062" width="20" style="156" customWidth="1"/>
    <col min="13063" max="13063" width="13" style="156" bestFit="1" customWidth="1"/>
    <col min="13064" max="13064" width="12.125" style="156" customWidth="1"/>
    <col min="13065" max="13065" width="21.375" style="156" customWidth="1"/>
    <col min="13066" max="13066" width="5.5" style="156" customWidth="1"/>
    <col min="13067" max="13067" width="8" style="156" customWidth="1"/>
    <col min="13068" max="13068" width="12.125" style="156" bestFit="1" customWidth="1"/>
    <col min="13069" max="13069" width="9" style="156"/>
    <col min="13070" max="13071" width="11.125" style="156" customWidth="1"/>
    <col min="13072" max="13072" width="12.5" style="156" bestFit="1" customWidth="1"/>
    <col min="13073" max="13084" width="9" style="156"/>
    <col min="13085" max="13085" width="48.875" style="156" customWidth="1"/>
    <col min="13086" max="13312" width="9" style="156"/>
    <col min="13313" max="13313" width="6.25" style="156" customWidth="1"/>
    <col min="13314" max="13315" width="5.875" style="156" customWidth="1"/>
    <col min="13316" max="13316" width="10.625" style="156" customWidth="1"/>
    <col min="13317" max="13317" width="8.375" style="156" customWidth="1"/>
    <col min="13318" max="13318" width="20" style="156" customWidth="1"/>
    <col min="13319" max="13319" width="13" style="156" bestFit="1" customWidth="1"/>
    <col min="13320" max="13320" width="12.125" style="156" customWidth="1"/>
    <col min="13321" max="13321" width="21.375" style="156" customWidth="1"/>
    <col min="13322" max="13322" width="5.5" style="156" customWidth="1"/>
    <col min="13323" max="13323" width="8" style="156" customWidth="1"/>
    <col min="13324" max="13324" width="12.125" style="156" bestFit="1" customWidth="1"/>
    <col min="13325" max="13325" width="9" style="156"/>
    <col min="13326" max="13327" width="11.125" style="156" customWidth="1"/>
    <col min="13328" max="13328" width="12.5" style="156" bestFit="1" customWidth="1"/>
    <col min="13329" max="13340" width="9" style="156"/>
    <col min="13341" max="13341" width="48.875" style="156" customWidth="1"/>
    <col min="13342" max="13568" width="9" style="156"/>
    <col min="13569" max="13569" width="6.25" style="156" customWidth="1"/>
    <col min="13570" max="13571" width="5.875" style="156" customWidth="1"/>
    <col min="13572" max="13572" width="10.625" style="156" customWidth="1"/>
    <col min="13573" max="13573" width="8.375" style="156" customWidth="1"/>
    <col min="13574" max="13574" width="20" style="156" customWidth="1"/>
    <col min="13575" max="13575" width="13" style="156" bestFit="1" customWidth="1"/>
    <col min="13576" max="13576" width="12.125" style="156" customWidth="1"/>
    <col min="13577" max="13577" width="21.375" style="156" customWidth="1"/>
    <col min="13578" max="13578" width="5.5" style="156" customWidth="1"/>
    <col min="13579" max="13579" width="8" style="156" customWidth="1"/>
    <col min="13580" max="13580" width="12.125" style="156" bestFit="1" customWidth="1"/>
    <col min="13581" max="13581" width="9" style="156"/>
    <col min="13582" max="13583" width="11.125" style="156" customWidth="1"/>
    <col min="13584" max="13584" width="12.5" style="156" bestFit="1" customWidth="1"/>
    <col min="13585" max="13596" width="9" style="156"/>
    <col min="13597" max="13597" width="48.875" style="156" customWidth="1"/>
    <col min="13598" max="13824" width="9" style="156"/>
    <col min="13825" max="13825" width="6.25" style="156" customWidth="1"/>
    <col min="13826" max="13827" width="5.875" style="156" customWidth="1"/>
    <col min="13828" max="13828" width="10.625" style="156" customWidth="1"/>
    <col min="13829" max="13829" width="8.375" style="156" customWidth="1"/>
    <col min="13830" max="13830" width="20" style="156" customWidth="1"/>
    <col min="13831" max="13831" width="13" style="156" bestFit="1" customWidth="1"/>
    <col min="13832" max="13832" width="12.125" style="156" customWidth="1"/>
    <col min="13833" max="13833" width="21.375" style="156" customWidth="1"/>
    <col min="13834" max="13834" width="5.5" style="156" customWidth="1"/>
    <col min="13835" max="13835" width="8" style="156" customWidth="1"/>
    <col min="13836" max="13836" width="12.125" style="156" bestFit="1" customWidth="1"/>
    <col min="13837" max="13837" width="9" style="156"/>
    <col min="13838" max="13839" width="11.125" style="156" customWidth="1"/>
    <col min="13840" max="13840" width="12.5" style="156" bestFit="1" customWidth="1"/>
    <col min="13841" max="13852" width="9" style="156"/>
    <col min="13853" max="13853" width="48.875" style="156" customWidth="1"/>
    <col min="13854" max="14080" width="9" style="156"/>
    <col min="14081" max="14081" width="6.25" style="156" customWidth="1"/>
    <col min="14082" max="14083" width="5.875" style="156" customWidth="1"/>
    <col min="14084" max="14084" width="10.625" style="156" customWidth="1"/>
    <col min="14085" max="14085" width="8.375" style="156" customWidth="1"/>
    <col min="14086" max="14086" width="20" style="156" customWidth="1"/>
    <col min="14087" max="14087" width="13" style="156" bestFit="1" customWidth="1"/>
    <col min="14088" max="14088" width="12.125" style="156" customWidth="1"/>
    <col min="14089" max="14089" width="21.375" style="156" customWidth="1"/>
    <col min="14090" max="14090" width="5.5" style="156" customWidth="1"/>
    <col min="14091" max="14091" width="8" style="156" customWidth="1"/>
    <col min="14092" max="14092" width="12.125" style="156" bestFit="1" customWidth="1"/>
    <col min="14093" max="14093" width="9" style="156"/>
    <col min="14094" max="14095" width="11.125" style="156" customWidth="1"/>
    <col min="14096" max="14096" width="12.5" style="156" bestFit="1" customWidth="1"/>
    <col min="14097" max="14108" width="9" style="156"/>
    <col min="14109" max="14109" width="48.875" style="156" customWidth="1"/>
    <col min="14110" max="14336" width="9" style="156"/>
    <col min="14337" max="14337" width="6.25" style="156" customWidth="1"/>
    <col min="14338" max="14339" width="5.875" style="156" customWidth="1"/>
    <col min="14340" max="14340" width="10.625" style="156" customWidth="1"/>
    <col min="14341" max="14341" width="8.375" style="156" customWidth="1"/>
    <col min="14342" max="14342" width="20" style="156" customWidth="1"/>
    <col min="14343" max="14343" width="13" style="156" bestFit="1" customWidth="1"/>
    <col min="14344" max="14344" width="12.125" style="156" customWidth="1"/>
    <col min="14345" max="14345" width="21.375" style="156" customWidth="1"/>
    <col min="14346" max="14346" width="5.5" style="156" customWidth="1"/>
    <col min="14347" max="14347" width="8" style="156" customWidth="1"/>
    <col min="14348" max="14348" width="12.125" style="156" bestFit="1" customWidth="1"/>
    <col min="14349" max="14349" width="9" style="156"/>
    <col min="14350" max="14351" width="11.125" style="156" customWidth="1"/>
    <col min="14352" max="14352" width="12.5" style="156" bestFit="1" customWidth="1"/>
    <col min="14353" max="14364" width="9" style="156"/>
    <col min="14365" max="14365" width="48.875" style="156" customWidth="1"/>
    <col min="14366" max="14592" width="9" style="156"/>
    <col min="14593" max="14593" width="6.25" style="156" customWidth="1"/>
    <col min="14594" max="14595" width="5.875" style="156" customWidth="1"/>
    <col min="14596" max="14596" width="10.625" style="156" customWidth="1"/>
    <col min="14597" max="14597" width="8.375" style="156" customWidth="1"/>
    <col min="14598" max="14598" width="20" style="156" customWidth="1"/>
    <col min="14599" max="14599" width="13" style="156" bestFit="1" customWidth="1"/>
    <col min="14600" max="14600" width="12.125" style="156" customWidth="1"/>
    <col min="14601" max="14601" width="21.375" style="156" customWidth="1"/>
    <col min="14602" max="14602" width="5.5" style="156" customWidth="1"/>
    <col min="14603" max="14603" width="8" style="156" customWidth="1"/>
    <col min="14604" max="14604" width="12.125" style="156" bestFit="1" customWidth="1"/>
    <col min="14605" max="14605" width="9" style="156"/>
    <col min="14606" max="14607" width="11.125" style="156" customWidth="1"/>
    <col min="14608" max="14608" width="12.5" style="156" bestFit="1" customWidth="1"/>
    <col min="14609" max="14620" width="9" style="156"/>
    <col min="14621" max="14621" width="48.875" style="156" customWidth="1"/>
    <col min="14622" max="14848" width="9" style="156"/>
    <col min="14849" max="14849" width="6.25" style="156" customWidth="1"/>
    <col min="14850" max="14851" width="5.875" style="156" customWidth="1"/>
    <col min="14852" max="14852" width="10.625" style="156" customWidth="1"/>
    <col min="14853" max="14853" width="8.375" style="156" customWidth="1"/>
    <col min="14854" max="14854" width="20" style="156" customWidth="1"/>
    <col min="14855" max="14855" width="13" style="156" bestFit="1" customWidth="1"/>
    <col min="14856" max="14856" width="12.125" style="156" customWidth="1"/>
    <col min="14857" max="14857" width="21.375" style="156" customWidth="1"/>
    <col min="14858" max="14858" width="5.5" style="156" customWidth="1"/>
    <col min="14859" max="14859" width="8" style="156" customWidth="1"/>
    <col min="14860" max="14860" width="12.125" style="156" bestFit="1" customWidth="1"/>
    <col min="14861" max="14861" width="9" style="156"/>
    <col min="14862" max="14863" width="11.125" style="156" customWidth="1"/>
    <col min="14864" max="14864" width="12.5" style="156" bestFit="1" customWidth="1"/>
    <col min="14865" max="14876" width="9" style="156"/>
    <col min="14877" max="14877" width="48.875" style="156" customWidth="1"/>
    <col min="14878" max="15104" width="9" style="156"/>
    <col min="15105" max="15105" width="6.25" style="156" customWidth="1"/>
    <col min="15106" max="15107" width="5.875" style="156" customWidth="1"/>
    <col min="15108" max="15108" width="10.625" style="156" customWidth="1"/>
    <col min="15109" max="15109" width="8.375" style="156" customWidth="1"/>
    <col min="15110" max="15110" width="20" style="156" customWidth="1"/>
    <col min="15111" max="15111" width="13" style="156" bestFit="1" customWidth="1"/>
    <col min="15112" max="15112" width="12.125" style="156" customWidth="1"/>
    <col min="15113" max="15113" width="21.375" style="156" customWidth="1"/>
    <col min="15114" max="15114" width="5.5" style="156" customWidth="1"/>
    <col min="15115" max="15115" width="8" style="156" customWidth="1"/>
    <col min="15116" max="15116" width="12.125" style="156" bestFit="1" customWidth="1"/>
    <col min="15117" max="15117" width="9" style="156"/>
    <col min="15118" max="15119" width="11.125" style="156" customWidth="1"/>
    <col min="15120" max="15120" width="12.5" style="156" bestFit="1" customWidth="1"/>
    <col min="15121" max="15132" width="9" style="156"/>
    <col min="15133" max="15133" width="48.875" style="156" customWidth="1"/>
    <col min="15134" max="15360" width="9" style="156"/>
    <col min="15361" max="15361" width="6.25" style="156" customWidth="1"/>
    <col min="15362" max="15363" width="5.875" style="156" customWidth="1"/>
    <col min="15364" max="15364" width="10.625" style="156" customWidth="1"/>
    <col min="15365" max="15365" width="8.375" style="156" customWidth="1"/>
    <col min="15366" max="15366" width="20" style="156" customWidth="1"/>
    <col min="15367" max="15367" width="13" style="156" bestFit="1" customWidth="1"/>
    <col min="15368" max="15368" width="12.125" style="156" customWidth="1"/>
    <col min="15369" max="15369" width="21.375" style="156" customWidth="1"/>
    <col min="15370" max="15370" width="5.5" style="156" customWidth="1"/>
    <col min="15371" max="15371" width="8" style="156" customWidth="1"/>
    <col min="15372" max="15372" width="12.125" style="156" bestFit="1" customWidth="1"/>
    <col min="15373" max="15373" width="9" style="156"/>
    <col min="15374" max="15375" width="11.125" style="156" customWidth="1"/>
    <col min="15376" max="15376" width="12.5" style="156" bestFit="1" customWidth="1"/>
    <col min="15377" max="15388" width="9" style="156"/>
    <col min="15389" max="15389" width="48.875" style="156" customWidth="1"/>
    <col min="15390" max="15616" width="9" style="156"/>
    <col min="15617" max="15617" width="6.25" style="156" customWidth="1"/>
    <col min="15618" max="15619" width="5.875" style="156" customWidth="1"/>
    <col min="15620" max="15620" width="10.625" style="156" customWidth="1"/>
    <col min="15621" max="15621" width="8.375" style="156" customWidth="1"/>
    <col min="15622" max="15622" width="20" style="156" customWidth="1"/>
    <col min="15623" max="15623" width="13" style="156" bestFit="1" customWidth="1"/>
    <col min="15624" max="15624" width="12.125" style="156" customWidth="1"/>
    <col min="15625" max="15625" width="21.375" style="156" customWidth="1"/>
    <col min="15626" max="15626" width="5.5" style="156" customWidth="1"/>
    <col min="15627" max="15627" width="8" style="156" customWidth="1"/>
    <col min="15628" max="15628" width="12.125" style="156" bestFit="1" customWidth="1"/>
    <col min="15629" max="15629" width="9" style="156"/>
    <col min="15630" max="15631" width="11.125" style="156" customWidth="1"/>
    <col min="15632" max="15632" width="12.5" style="156" bestFit="1" customWidth="1"/>
    <col min="15633" max="15644" width="9" style="156"/>
    <col min="15645" max="15645" width="48.875" style="156" customWidth="1"/>
    <col min="15646" max="15872" width="9" style="156"/>
    <col min="15873" max="15873" width="6.25" style="156" customWidth="1"/>
    <col min="15874" max="15875" width="5.875" style="156" customWidth="1"/>
    <col min="15876" max="15876" width="10.625" style="156" customWidth="1"/>
    <col min="15877" max="15877" width="8.375" style="156" customWidth="1"/>
    <col min="15878" max="15878" width="20" style="156" customWidth="1"/>
    <col min="15879" max="15879" width="13" style="156" bestFit="1" customWidth="1"/>
    <col min="15880" max="15880" width="12.125" style="156" customWidth="1"/>
    <col min="15881" max="15881" width="21.375" style="156" customWidth="1"/>
    <col min="15882" max="15882" width="5.5" style="156" customWidth="1"/>
    <col min="15883" max="15883" width="8" style="156" customWidth="1"/>
    <col min="15884" max="15884" width="12.125" style="156" bestFit="1" customWidth="1"/>
    <col min="15885" max="15885" width="9" style="156"/>
    <col min="15886" max="15887" width="11.125" style="156" customWidth="1"/>
    <col min="15888" max="15888" width="12.5" style="156" bestFit="1" customWidth="1"/>
    <col min="15889" max="15900" width="9" style="156"/>
    <col min="15901" max="15901" width="48.875" style="156" customWidth="1"/>
    <col min="15902" max="16128" width="9" style="156"/>
    <col min="16129" max="16129" width="6.25" style="156" customWidth="1"/>
    <col min="16130" max="16131" width="5.875" style="156" customWidth="1"/>
    <col min="16132" max="16132" width="10.625" style="156" customWidth="1"/>
    <col min="16133" max="16133" width="8.375" style="156" customWidth="1"/>
    <col min="16134" max="16134" width="20" style="156" customWidth="1"/>
    <col min="16135" max="16135" width="13" style="156" bestFit="1" customWidth="1"/>
    <col min="16136" max="16136" width="12.125" style="156" customWidth="1"/>
    <col min="16137" max="16137" width="21.375" style="156" customWidth="1"/>
    <col min="16138" max="16138" width="5.5" style="156" customWidth="1"/>
    <col min="16139" max="16139" width="8" style="156" customWidth="1"/>
    <col min="16140" max="16140" width="12.125" style="156" bestFit="1" customWidth="1"/>
    <col min="16141" max="16141" width="9" style="156"/>
    <col min="16142" max="16143" width="11.125" style="156" customWidth="1"/>
    <col min="16144" max="16144" width="12.5" style="156" bestFit="1" customWidth="1"/>
    <col min="16145" max="16156" width="9" style="156"/>
    <col min="16157" max="16157" width="48.875" style="156" customWidth="1"/>
    <col min="16158" max="16384" width="9" style="156"/>
  </cols>
  <sheetData>
    <row r="1" spans="1:38" ht="96.75" customHeight="1">
      <c r="A1" s="1164" t="s">
        <v>293</v>
      </c>
      <c r="B1" s="1164"/>
      <c r="C1" s="1164"/>
      <c r="D1" s="1164"/>
      <c r="E1" s="160"/>
      <c r="F1" s="160"/>
      <c r="H1" s="1170" t="s">
        <v>468</v>
      </c>
      <c r="I1" s="1170"/>
      <c r="J1" s="1170"/>
      <c r="K1" s="1170"/>
    </row>
    <row r="2" spans="1:38" ht="10.5" customHeight="1">
      <c r="A2" s="332"/>
      <c r="B2" s="332"/>
      <c r="C2" s="332"/>
      <c r="D2" s="332"/>
      <c r="E2" s="332"/>
      <c r="F2" s="332"/>
      <c r="H2" s="305"/>
    </row>
    <row r="3" spans="1:38" ht="21.75" customHeight="1">
      <c r="A3" s="1171" t="s">
        <v>619</v>
      </c>
      <c r="B3" s="1171"/>
      <c r="C3" s="1171"/>
      <c r="D3" s="1171"/>
      <c r="E3" s="1171"/>
      <c r="F3" s="1171"/>
      <c r="H3" s="1173" t="s">
        <v>494</v>
      </c>
      <c r="I3" s="1174"/>
      <c r="J3" s="1174"/>
      <c r="K3" s="1174"/>
      <c r="R3" s="333"/>
      <c r="S3" s="333"/>
      <c r="T3" s="305"/>
      <c r="U3" s="305"/>
      <c r="V3" s="305"/>
      <c r="W3" s="305"/>
      <c r="X3" s="305"/>
      <c r="Y3" s="305"/>
      <c r="Z3" s="305"/>
      <c r="AA3" s="305"/>
      <c r="AB3" s="305"/>
      <c r="AC3" s="305"/>
      <c r="AD3" s="305"/>
      <c r="AE3" s="305"/>
      <c r="AF3" s="305"/>
      <c r="AG3" s="305"/>
      <c r="AH3" s="305"/>
      <c r="AI3" s="305"/>
      <c r="AJ3" s="305"/>
      <c r="AK3" s="305"/>
    </row>
    <row r="4" spans="1:38" ht="18" customHeight="1">
      <c r="A4" s="158"/>
      <c r="B4" s="158"/>
      <c r="C4" s="158"/>
      <c r="D4" s="158"/>
      <c r="E4" s="158"/>
      <c r="F4" s="158"/>
      <c r="G4" s="158"/>
      <c r="H4" s="1174"/>
      <c r="I4" s="1174"/>
      <c r="J4" s="1174"/>
      <c r="K4" s="1174"/>
      <c r="R4" s="334"/>
      <c r="S4" s="334"/>
      <c r="T4" s="334"/>
      <c r="U4" s="334"/>
      <c r="V4" s="334"/>
      <c r="W4" s="334"/>
      <c r="X4" s="334"/>
      <c r="Y4" s="334"/>
      <c r="Z4" s="334"/>
      <c r="AA4" s="334"/>
      <c r="AB4" s="334"/>
      <c r="AC4" s="334"/>
      <c r="AD4" s="334"/>
      <c r="AE4" s="334"/>
      <c r="AF4" s="334"/>
      <c r="AG4" s="334"/>
      <c r="AH4" s="334"/>
      <c r="AI4" s="334"/>
      <c r="AJ4" s="334"/>
      <c r="AK4" s="334"/>
    </row>
    <row r="5" spans="1:38" s="337" customFormat="1" ht="18" customHeight="1">
      <c r="A5" s="159" t="s">
        <v>435</v>
      </c>
      <c r="B5" s="159"/>
      <c r="C5" s="159"/>
      <c r="D5" s="159"/>
      <c r="E5" s="159"/>
      <c r="F5" s="159"/>
      <c r="G5" s="159"/>
      <c r="H5" s="335"/>
      <c r="I5" s="336"/>
      <c r="R5" s="338"/>
      <c r="S5" s="338"/>
      <c r="T5" s="338"/>
      <c r="U5" s="338"/>
      <c r="V5" s="338"/>
      <c r="W5" s="338"/>
      <c r="X5" s="338"/>
      <c r="Y5" s="338"/>
      <c r="Z5" s="338"/>
      <c r="AA5" s="338"/>
      <c r="AB5" s="338"/>
      <c r="AC5" s="338"/>
      <c r="AD5" s="338"/>
      <c r="AE5" s="338"/>
      <c r="AF5" s="338"/>
      <c r="AG5" s="338"/>
      <c r="AH5" s="338"/>
      <c r="AI5" s="338"/>
      <c r="AJ5" s="338"/>
      <c r="AK5" s="338"/>
      <c r="AL5" s="156"/>
    </row>
    <row r="6" spans="1:38" ht="18" customHeight="1">
      <c r="A6" s="158"/>
      <c r="B6" s="158"/>
      <c r="C6" s="158"/>
      <c r="D6" s="158"/>
      <c r="E6" s="158"/>
      <c r="F6" s="339"/>
      <c r="G6" s="339"/>
      <c r="H6" s="339"/>
    </row>
    <row r="7" spans="1:38" ht="18" customHeight="1">
      <c r="A7" s="1095" t="s">
        <v>182</v>
      </c>
      <c r="B7" s="1095"/>
      <c r="C7" s="1095"/>
      <c r="D7" s="304" t="s">
        <v>183</v>
      </c>
      <c r="E7" s="304" t="s">
        <v>184</v>
      </c>
      <c r="F7" s="304" t="s">
        <v>185</v>
      </c>
      <c r="G7" s="340" t="s">
        <v>186</v>
      </c>
      <c r="H7" s="341" t="s">
        <v>187</v>
      </c>
      <c r="I7" s="304" t="s">
        <v>188</v>
      </c>
      <c r="J7" s="304" t="s">
        <v>210</v>
      </c>
      <c r="R7" s="338"/>
      <c r="S7" s="338"/>
      <c r="T7" s="338"/>
      <c r="U7" s="338"/>
      <c r="V7" s="338"/>
      <c r="W7" s="338"/>
      <c r="X7" s="338"/>
      <c r="Y7" s="338"/>
      <c r="Z7" s="338"/>
      <c r="AA7" s="338"/>
      <c r="AB7" s="338"/>
      <c r="AC7" s="338"/>
      <c r="AD7" s="338"/>
      <c r="AE7" s="338"/>
      <c r="AF7" s="338"/>
      <c r="AG7" s="338"/>
      <c r="AH7" s="338"/>
      <c r="AI7" s="338"/>
      <c r="AJ7" s="338"/>
      <c r="AK7" s="338"/>
    </row>
    <row r="8" spans="1:38" ht="18" customHeight="1">
      <c r="A8" s="1166" t="s">
        <v>430</v>
      </c>
      <c r="B8" s="1167"/>
      <c r="C8" s="1168"/>
      <c r="D8" s="342" t="s">
        <v>607</v>
      </c>
      <c r="E8" s="306"/>
      <c r="F8" s="306" t="s">
        <v>298</v>
      </c>
      <c r="G8" s="306" t="s">
        <v>189</v>
      </c>
      <c r="H8" s="343" t="str">
        <f>IF(G8="","",IF(G8="특급","적격",IF(AND(F8="고급이상",OR(G8="특급",G8="고급")),"적격",IF(AND(F8="중급이상",OR(G8="특급",G8="고급",G8="중급")),"적격","부적격"))))</f>
        <v>적격</v>
      </c>
      <c r="I8" s="344"/>
      <c r="J8" s="307">
        <v>45915</v>
      </c>
      <c r="R8" s="338"/>
      <c r="S8" s="338"/>
      <c r="T8" s="338"/>
      <c r="U8" s="338"/>
      <c r="V8" s="338"/>
      <c r="W8" s="338"/>
      <c r="X8" s="338"/>
      <c r="Y8" s="338"/>
      <c r="Z8" s="338"/>
      <c r="AA8" s="338"/>
      <c r="AB8" s="338"/>
      <c r="AC8" s="338"/>
      <c r="AD8" s="338"/>
      <c r="AE8" s="338"/>
      <c r="AF8" s="338"/>
      <c r="AG8" s="338"/>
      <c r="AH8" s="338"/>
      <c r="AI8" s="338"/>
      <c r="AJ8" s="338"/>
      <c r="AK8" s="338"/>
    </row>
    <row r="9" spans="1:38" ht="18" customHeight="1">
      <c r="A9" s="158"/>
      <c r="B9" s="158"/>
      <c r="C9" s="158"/>
      <c r="D9" s="158"/>
      <c r="E9" s="158"/>
      <c r="F9" s="298"/>
      <c r="G9" s="298"/>
      <c r="H9" s="284"/>
      <c r="R9" s="338"/>
      <c r="S9" s="338"/>
      <c r="T9" s="338"/>
      <c r="U9" s="338"/>
      <c r="V9" s="338"/>
      <c r="W9" s="338"/>
      <c r="X9" s="338"/>
      <c r="Y9" s="338"/>
      <c r="Z9" s="338"/>
      <c r="AA9" s="338"/>
      <c r="AB9" s="338"/>
      <c r="AC9" s="338"/>
      <c r="AD9" s="338"/>
      <c r="AE9" s="338"/>
      <c r="AF9" s="338"/>
      <c r="AG9" s="338"/>
      <c r="AH9" s="338"/>
      <c r="AI9" s="338"/>
      <c r="AJ9" s="338"/>
      <c r="AK9" s="338"/>
    </row>
    <row r="10" spans="1:38" s="337" customFormat="1" ht="18" customHeight="1">
      <c r="A10" s="159" t="s">
        <v>431</v>
      </c>
      <c r="B10" s="159"/>
      <c r="C10" s="159"/>
      <c r="D10" s="159"/>
      <c r="E10" s="1169"/>
      <c r="F10" s="1169"/>
      <c r="G10" s="1169"/>
      <c r="H10" s="1169"/>
      <c r="I10" s="1169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</row>
    <row r="11" spans="1:38" ht="33">
      <c r="A11" s="1095" t="s">
        <v>182</v>
      </c>
      <c r="B11" s="1095"/>
      <c r="C11" s="1095"/>
      <c r="D11" s="304" t="s">
        <v>183</v>
      </c>
      <c r="E11" s="304" t="s">
        <v>184</v>
      </c>
      <c r="F11" s="304" t="s">
        <v>185</v>
      </c>
      <c r="G11" s="340" t="s">
        <v>186</v>
      </c>
      <c r="H11" s="341" t="s">
        <v>187</v>
      </c>
      <c r="I11" s="304" t="s">
        <v>188</v>
      </c>
      <c r="J11" s="304" t="s">
        <v>210</v>
      </c>
      <c r="K11" s="345" t="s">
        <v>409</v>
      </c>
      <c r="L11" s="156"/>
      <c r="M11" s="156"/>
      <c r="N11" s="156"/>
      <c r="O11" s="156"/>
      <c r="P11" s="156"/>
      <c r="Q11" s="156"/>
      <c r="R11" s="338"/>
      <c r="S11" s="338"/>
      <c r="T11" s="338"/>
      <c r="U11" s="338"/>
      <c r="V11" s="338"/>
      <c r="W11" s="338"/>
      <c r="X11" s="338"/>
      <c r="Y11" s="338"/>
      <c r="Z11" s="338"/>
      <c r="AA11" s="338"/>
      <c r="AB11" s="338"/>
      <c r="AC11" s="338"/>
      <c r="AD11" s="338"/>
      <c r="AE11" s="338"/>
      <c r="AF11" s="338"/>
      <c r="AG11" s="338"/>
      <c r="AH11" s="338"/>
      <c r="AI11" s="338"/>
      <c r="AJ11" s="338"/>
      <c r="AK11" s="338"/>
    </row>
    <row r="12" spans="1:38" ht="18" customHeight="1">
      <c r="A12" s="340" t="s">
        <v>192</v>
      </c>
      <c r="B12" s="1105" t="s">
        <v>518</v>
      </c>
      <c r="C12" s="1105"/>
      <c r="D12" s="342" t="s">
        <v>608</v>
      </c>
      <c r="E12" s="306"/>
      <c r="F12" s="306" t="s">
        <v>538</v>
      </c>
      <c r="G12" s="306" t="s">
        <v>521</v>
      </c>
      <c r="H12" s="343" t="str">
        <f>IF(F12="","행을 삭제하시오",IF(AND(F12="기술사",G12="기술사"),"적격",IF(AND(F12="특급",G12="특급"),"적격",IF(AND(F12="고급이상",OR(G12="특급",G12="고급")),"적격",IF(AND(F12="중급이상",OR(G12="특급",G12="고급",G12="중급")),"적격",IF(AND(F12="초급이상",OR(G12="특급",G12="고급",G12="중급",G12="초급")),"적격",IF(AND(F12="초급이상중급이하",OR(G12="초급",G12="중급")),"적격","부적격")))))))</f>
        <v>적격</v>
      </c>
      <c r="I12" s="344"/>
      <c r="J12" s="307">
        <v>45915</v>
      </c>
      <c r="K12" s="346"/>
      <c r="L12" s="156"/>
      <c r="M12" s="156"/>
      <c r="N12" s="156"/>
      <c r="O12" s="156"/>
      <c r="P12" s="156"/>
      <c r="Q12" s="156"/>
      <c r="R12" s="338"/>
      <c r="S12" s="338"/>
      <c r="T12" s="338"/>
      <c r="U12" s="338"/>
      <c r="V12" s="338"/>
      <c r="W12" s="338"/>
      <c r="X12" s="338"/>
      <c r="Y12" s="338"/>
      <c r="Z12" s="338"/>
      <c r="AA12" s="338"/>
      <c r="AB12" s="338"/>
      <c r="AC12" s="338"/>
      <c r="AD12" s="338"/>
      <c r="AE12" s="338"/>
      <c r="AF12" s="338"/>
      <c r="AG12" s="338"/>
      <c r="AH12" s="338"/>
      <c r="AI12" s="338"/>
      <c r="AJ12" s="338"/>
      <c r="AK12" s="338"/>
    </row>
    <row r="13" spans="1:38" ht="18" customHeight="1">
      <c r="A13" s="340" t="s">
        <v>408</v>
      </c>
      <c r="B13" s="1105" t="s">
        <v>519</v>
      </c>
      <c r="C13" s="1105"/>
      <c r="D13" s="342" t="s">
        <v>609</v>
      </c>
      <c r="E13" s="306"/>
      <c r="F13" s="306" t="s">
        <v>424</v>
      </c>
      <c r="G13" s="306" t="s">
        <v>539</v>
      </c>
      <c r="H13" s="343" t="str">
        <f t="shared" ref="H13:H24" si="0">IF(F13="","행을 삭제하시오",IF(AND(F13="기술사",G13="기술사"),"적격",IF(AND(F13="특급",G13="특급"),"적격",IF(AND(F13="고급이상",OR(G13="특급",G13="고급")),"적격",IF(AND(F13="중급이상",OR(G13="특급",G13="고급",G13="중급")),"적격",IF(AND(F13="초급이상",OR(G13="특급",G13="고급",G13="중급",G13="초급")),"적격",IF(AND(F13="초급이상중급이하",OR(G13="초급",G13="중급")),"적격","부적격")))))))</f>
        <v>적격</v>
      </c>
      <c r="I13" s="344"/>
      <c r="J13" s="307">
        <v>45915</v>
      </c>
      <c r="K13" s="347"/>
      <c r="L13" s="156"/>
      <c r="M13" s="156"/>
      <c r="N13" s="156"/>
      <c r="O13" s="156"/>
      <c r="P13" s="156"/>
      <c r="Q13" s="156"/>
      <c r="R13" s="338"/>
      <c r="S13" s="338"/>
      <c r="T13" s="338"/>
      <c r="U13" s="338"/>
      <c r="V13" s="338"/>
      <c r="W13" s="338"/>
      <c r="X13" s="338"/>
      <c r="Y13" s="338"/>
      <c r="Z13" s="338"/>
      <c r="AA13" s="338"/>
      <c r="AB13" s="338"/>
      <c r="AC13" s="338"/>
      <c r="AD13" s="338"/>
      <c r="AE13" s="338"/>
      <c r="AF13" s="338"/>
      <c r="AG13" s="338"/>
      <c r="AH13" s="338"/>
      <c r="AI13" s="338"/>
      <c r="AJ13" s="338"/>
      <c r="AK13" s="338"/>
    </row>
    <row r="14" spans="1:38" ht="18" hidden="1" customHeight="1">
      <c r="A14" s="340" t="s">
        <v>191</v>
      </c>
      <c r="B14" s="1105" t="s">
        <v>190</v>
      </c>
      <c r="C14" s="1105"/>
      <c r="D14" s="342"/>
      <c r="E14" s="306"/>
      <c r="F14" s="306"/>
      <c r="G14" s="306"/>
      <c r="H14" s="343" t="str">
        <f t="shared" si="0"/>
        <v>행을 삭제하시오</v>
      </c>
      <c r="I14" s="344"/>
      <c r="J14" s="307"/>
      <c r="K14" s="346"/>
      <c r="L14" s="156"/>
      <c r="M14" s="156"/>
      <c r="N14" s="156"/>
      <c r="O14" s="156"/>
      <c r="P14" s="156"/>
      <c r="Q14" s="156"/>
      <c r="R14" s="338"/>
      <c r="S14" s="338"/>
      <c r="T14" s="338"/>
      <c r="U14" s="338"/>
      <c r="V14" s="338"/>
      <c r="W14" s="338"/>
      <c r="X14" s="338"/>
      <c r="Y14" s="338"/>
      <c r="Z14" s="338"/>
      <c r="AA14" s="338"/>
      <c r="AB14" s="338"/>
      <c r="AC14" s="338"/>
      <c r="AD14" s="338"/>
      <c r="AE14" s="338"/>
      <c r="AF14" s="338"/>
      <c r="AG14" s="338"/>
      <c r="AH14" s="338"/>
      <c r="AI14" s="338"/>
      <c r="AJ14" s="338"/>
      <c r="AK14" s="338"/>
    </row>
    <row r="15" spans="1:38" ht="18" hidden="1" customHeight="1">
      <c r="A15" s="340" t="s">
        <v>192</v>
      </c>
      <c r="B15" s="1105" t="s">
        <v>190</v>
      </c>
      <c r="C15" s="1105"/>
      <c r="D15" s="342"/>
      <c r="E15" s="306"/>
      <c r="F15" s="306"/>
      <c r="G15" s="306"/>
      <c r="H15" s="343" t="str">
        <f t="shared" si="0"/>
        <v>행을 삭제하시오</v>
      </c>
      <c r="I15" s="344"/>
      <c r="J15" s="307"/>
      <c r="K15" s="346"/>
      <c r="L15" s="156"/>
      <c r="M15" s="156"/>
      <c r="N15" s="156"/>
      <c r="O15" s="156"/>
      <c r="P15" s="156"/>
      <c r="Q15" s="156"/>
      <c r="R15" s="338"/>
      <c r="S15" s="338"/>
      <c r="T15" s="338"/>
      <c r="U15" s="338"/>
      <c r="V15" s="338"/>
      <c r="W15" s="338"/>
      <c r="X15" s="338"/>
      <c r="Y15" s="338"/>
      <c r="Z15" s="338"/>
      <c r="AA15" s="338"/>
      <c r="AB15" s="338"/>
      <c r="AC15" s="338"/>
      <c r="AD15" s="338"/>
      <c r="AE15" s="338"/>
      <c r="AF15" s="338"/>
      <c r="AG15" s="338"/>
      <c r="AH15" s="338"/>
      <c r="AI15" s="338"/>
      <c r="AJ15" s="338"/>
      <c r="AK15" s="338"/>
    </row>
    <row r="16" spans="1:38" ht="18" hidden="1" customHeight="1">
      <c r="A16" s="340" t="s">
        <v>444</v>
      </c>
      <c r="B16" s="1105" t="s">
        <v>190</v>
      </c>
      <c r="C16" s="1105"/>
      <c r="D16" s="342"/>
      <c r="E16" s="306"/>
      <c r="F16" s="306"/>
      <c r="G16" s="306"/>
      <c r="H16" s="343" t="str">
        <f t="shared" ref="H16:H17" si="1">IF(F16="","행을 삭제하시오",IF(AND(F16="기술사",G16="기술사"),"적격",IF(AND(F16="특급",G16="특급"),"적격",IF(AND(F16="고급이상",OR(G16="특급",G16="고급")),"적격",IF(AND(F16="중급이상",OR(G16="특급",G16="고급",G16="중급")),"적격",IF(AND(F16="초급이상",OR(G16="특급",G16="고급",G16="중급",G16="초급")),"적격",IF(AND(F16="초급이상중급이하",OR(G16="초급",G16="중급")),"적격","부적격")))))))</f>
        <v>행을 삭제하시오</v>
      </c>
      <c r="I16" s="344"/>
      <c r="J16" s="307"/>
      <c r="K16" s="347"/>
      <c r="L16" s="156"/>
      <c r="M16" s="156"/>
      <c r="N16" s="156"/>
      <c r="O16" s="156"/>
      <c r="P16" s="156"/>
      <c r="Q16" s="156"/>
      <c r="R16" s="338"/>
      <c r="S16" s="338"/>
      <c r="T16" s="338"/>
      <c r="U16" s="338"/>
      <c r="V16" s="338"/>
      <c r="W16" s="338"/>
      <c r="X16" s="338"/>
      <c r="Y16" s="338"/>
      <c r="Z16" s="338"/>
      <c r="AA16" s="338"/>
      <c r="AB16" s="338"/>
      <c r="AC16" s="338"/>
      <c r="AD16" s="338"/>
      <c r="AE16" s="338"/>
      <c r="AF16" s="338"/>
      <c r="AG16" s="338"/>
      <c r="AH16" s="338"/>
      <c r="AI16" s="338"/>
      <c r="AJ16" s="338"/>
      <c r="AK16" s="338"/>
    </row>
    <row r="17" spans="1:38" ht="18" hidden="1" customHeight="1">
      <c r="A17" s="340" t="s">
        <v>444</v>
      </c>
      <c r="B17" s="1105" t="s">
        <v>469</v>
      </c>
      <c r="C17" s="1105"/>
      <c r="D17" s="342"/>
      <c r="E17" s="306"/>
      <c r="F17" s="306"/>
      <c r="G17" s="306"/>
      <c r="H17" s="343" t="str">
        <f t="shared" si="1"/>
        <v>행을 삭제하시오</v>
      </c>
      <c r="I17" s="344"/>
      <c r="J17" s="307"/>
      <c r="K17" s="347"/>
      <c r="L17" s="156"/>
      <c r="M17" s="156"/>
      <c r="N17" s="156"/>
      <c r="O17" s="156"/>
      <c r="P17" s="156"/>
      <c r="Q17" s="156"/>
      <c r="R17" s="338"/>
      <c r="S17" s="338"/>
      <c r="T17" s="338"/>
      <c r="U17" s="338"/>
      <c r="V17" s="338"/>
      <c r="W17" s="338"/>
      <c r="X17" s="338"/>
      <c r="Y17" s="338"/>
      <c r="Z17" s="338"/>
      <c r="AA17" s="338"/>
      <c r="AB17" s="338"/>
      <c r="AC17" s="338"/>
      <c r="AD17" s="338"/>
      <c r="AE17" s="338"/>
      <c r="AF17" s="338"/>
      <c r="AG17" s="338"/>
      <c r="AH17" s="338"/>
      <c r="AI17" s="338"/>
      <c r="AJ17" s="338"/>
      <c r="AK17" s="338"/>
    </row>
    <row r="18" spans="1:38" s="337" customFormat="1" ht="18" customHeight="1">
      <c r="A18" s="348"/>
      <c r="B18" s="348"/>
      <c r="C18" s="348"/>
      <c r="D18" s="348"/>
      <c r="E18" s="329"/>
      <c r="F18" s="329"/>
      <c r="G18" s="329"/>
      <c r="H18" s="318"/>
      <c r="I18" s="329"/>
      <c r="R18" s="338"/>
      <c r="S18" s="338"/>
      <c r="T18" s="338"/>
      <c r="U18" s="338"/>
      <c r="V18" s="338"/>
      <c r="W18" s="338"/>
      <c r="X18" s="338"/>
      <c r="Y18" s="338"/>
      <c r="Z18" s="338"/>
      <c r="AA18" s="338"/>
      <c r="AB18" s="338"/>
      <c r="AC18" s="338"/>
      <c r="AD18" s="338"/>
      <c r="AE18" s="338"/>
      <c r="AF18" s="338"/>
      <c r="AG18" s="338"/>
      <c r="AH18" s="338"/>
      <c r="AI18" s="338"/>
      <c r="AJ18" s="338"/>
      <c r="AK18" s="338"/>
      <c r="AL18" s="156"/>
    </row>
    <row r="19" spans="1:38" ht="18" customHeight="1">
      <c r="A19" s="159" t="s">
        <v>432</v>
      </c>
      <c r="B19" s="159"/>
      <c r="C19" s="159"/>
      <c r="D19" s="159"/>
      <c r="E19" s="159"/>
      <c r="F19" s="129"/>
      <c r="G19" s="129"/>
      <c r="H19" s="318"/>
      <c r="I19" s="336"/>
      <c r="R19" s="338"/>
      <c r="S19" s="338"/>
      <c r="T19" s="338"/>
      <c r="U19" s="338"/>
      <c r="V19" s="338"/>
      <c r="W19" s="338"/>
      <c r="X19" s="338"/>
      <c r="Y19" s="338"/>
      <c r="Z19" s="338"/>
      <c r="AA19" s="338"/>
      <c r="AB19" s="338"/>
      <c r="AC19" s="338"/>
      <c r="AD19" s="338"/>
      <c r="AE19" s="338"/>
      <c r="AF19" s="338"/>
      <c r="AG19" s="338"/>
      <c r="AH19" s="338"/>
      <c r="AI19" s="338"/>
      <c r="AJ19" s="338"/>
      <c r="AK19" s="338"/>
    </row>
    <row r="20" spans="1:38" ht="18" customHeight="1">
      <c r="A20" s="1095" t="s">
        <v>182</v>
      </c>
      <c r="B20" s="1095"/>
      <c r="C20" s="1095"/>
      <c r="D20" s="304" t="s">
        <v>183</v>
      </c>
      <c r="E20" s="304" t="s">
        <v>184</v>
      </c>
      <c r="F20" s="304" t="s">
        <v>185</v>
      </c>
      <c r="G20" s="349" t="s">
        <v>186</v>
      </c>
      <c r="H20" s="341" t="str">
        <f t="shared" si="0"/>
        <v>부적격</v>
      </c>
      <c r="I20" s="350" t="s">
        <v>188</v>
      </c>
      <c r="J20" s="304" t="s">
        <v>210</v>
      </c>
    </row>
    <row r="21" spans="1:38" ht="18" customHeight="1">
      <c r="A21" s="1105" t="s">
        <v>517</v>
      </c>
      <c r="B21" s="1105"/>
      <c r="C21" s="1105"/>
      <c r="D21" s="342" t="s">
        <v>610</v>
      </c>
      <c r="E21" s="306"/>
      <c r="F21" s="306" t="s">
        <v>424</v>
      </c>
      <c r="G21" s="306" t="s">
        <v>524</v>
      </c>
      <c r="H21" s="351" t="str">
        <f t="shared" si="0"/>
        <v>적격</v>
      </c>
      <c r="I21" s="344"/>
      <c r="J21" s="307">
        <v>45915</v>
      </c>
      <c r="L21" s="156"/>
      <c r="M21" s="156"/>
      <c r="N21" s="156"/>
      <c r="O21" s="156"/>
      <c r="P21" s="156"/>
      <c r="Q21" s="156"/>
      <c r="R21" s="338"/>
      <c r="S21" s="338"/>
      <c r="T21" s="338"/>
      <c r="U21" s="338"/>
      <c r="V21" s="338"/>
      <c r="W21" s="338"/>
      <c r="X21" s="338"/>
      <c r="Y21" s="338"/>
      <c r="Z21" s="338"/>
      <c r="AA21" s="338"/>
      <c r="AB21" s="338"/>
      <c r="AC21" s="338"/>
      <c r="AD21" s="338"/>
      <c r="AE21" s="338"/>
      <c r="AF21" s="338"/>
      <c r="AG21" s="338"/>
      <c r="AH21" s="338"/>
      <c r="AI21" s="338"/>
      <c r="AJ21" s="338"/>
      <c r="AK21" s="338"/>
    </row>
    <row r="22" spans="1:38" ht="18" hidden="1" customHeight="1">
      <c r="A22" s="1105" t="s">
        <v>191</v>
      </c>
      <c r="B22" s="1105"/>
      <c r="C22" s="1105"/>
      <c r="D22" s="342"/>
      <c r="E22" s="306"/>
      <c r="F22" s="306"/>
      <c r="G22" s="306"/>
      <c r="H22" s="343" t="str">
        <f t="shared" si="0"/>
        <v>행을 삭제하시오</v>
      </c>
      <c r="I22" s="344"/>
      <c r="J22" s="307"/>
      <c r="L22" s="156"/>
      <c r="M22" s="156"/>
      <c r="N22" s="156"/>
      <c r="O22" s="156"/>
      <c r="P22" s="156"/>
      <c r="Q22" s="156"/>
      <c r="R22" s="338"/>
      <c r="S22" s="338"/>
      <c r="T22" s="338"/>
      <c r="U22" s="338"/>
      <c r="V22" s="338"/>
      <c r="W22" s="338"/>
      <c r="X22" s="338"/>
      <c r="Y22" s="338"/>
      <c r="Z22" s="338"/>
      <c r="AA22" s="338"/>
      <c r="AB22" s="338"/>
      <c r="AC22" s="338"/>
      <c r="AD22" s="338"/>
      <c r="AE22" s="338"/>
      <c r="AF22" s="338"/>
      <c r="AG22" s="338"/>
      <c r="AH22" s="338"/>
      <c r="AI22" s="338"/>
      <c r="AJ22" s="338"/>
      <c r="AK22" s="338"/>
    </row>
    <row r="23" spans="1:38" ht="18" hidden="1" customHeight="1">
      <c r="A23" s="1105" t="s">
        <v>192</v>
      </c>
      <c r="B23" s="1105"/>
      <c r="C23" s="1105"/>
      <c r="D23" s="342"/>
      <c r="E23" s="306"/>
      <c r="F23" s="306"/>
      <c r="G23" s="306"/>
      <c r="H23" s="343" t="str">
        <f t="shared" si="0"/>
        <v>행을 삭제하시오</v>
      </c>
      <c r="I23" s="344"/>
      <c r="J23" s="307"/>
      <c r="L23" s="156"/>
      <c r="M23" s="156"/>
      <c r="N23" s="156"/>
      <c r="O23" s="156"/>
      <c r="P23" s="156"/>
      <c r="Q23" s="156"/>
      <c r="R23" s="338"/>
      <c r="S23" s="338"/>
      <c r="T23" s="338"/>
      <c r="U23" s="338"/>
      <c r="V23" s="338"/>
      <c r="W23" s="338"/>
      <c r="X23" s="338"/>
      <c r="Y23" s="338"/>
      <c r="Z23" s="338"/>
      <c r="AA23" s="338"/>
      <c r="AB23" s="338"/>
      <c r="AC23" s="338"/>
      <c r="AD23" s="338"/>
      <c r="AE23" s="338"/>
      <c r="AF23" s="338"/>
      <c r="AG23" s="338"/>
      <c r="AH23" s="338"/>
      <c r="AI23" s="338"/>
      <c r="AJ23" s="338"/>
      <c r="AK23" s="338"/>
    </row>
    <row r="24" spans="1:38" ht="18" hidden="1" customHeight="1">
      <c r="A24" s="1105" t="s">
        <v>193</v>
      </c>
      <c r="B24" s="1105"/>
      <c r="C24" s="1105"/>
      <c r="D24" s="342"/>
      <c r="E24" s="306"/>
      <c r="F24" s="306"/>
      <c r="G24" s="306"/>
      <c r="H24" s="343" t="str">
        <f t="shared" si="0"/>
        <v>행을 삭제하시오</v>
      </c>
      <c r="I24" s="344"/>
      <c r="J24" s="307"/>
      <c r="L24" s="156"/>
      <c r="M24" s="156"/>
      <c r="N24" s="156"/>
      <c r="O24" s="156"/>
      <c r="P24" s="156"/>
      <c r="Q24" s="156"/>
    </row>
    <row r="25" spans="1:38" ht="18" customHeight="1">
      <c r="A25" s="348"/>
      <c r="B25" s="348"/>
      <c r="C25" s="348"/>
      <c r="D25" s="348"/>
      <c r="E25" s="329"/>
      <c r="F25" s="329"/>
      <c r="G25" s="329"/>
      <c r="H25" s="318"/>
      <c r="I25" s="336"/>
      <c r="L25" s="156"/>
      <c r="M25" s="156"/>
      <c r="N25" s="156"/>
      <c r="O25" s="156"/>
      <c r="P25" s="156"/>
      <c r="Q25" s="156"/>
      <c r="R25" s="338"/>
      <c r="S25" s="338"/>
      <c r="T25" s="338"/>
      <c r="U25" s="338"/>
      <c r="V25" s="338"/>
      <c r="W25" s="338"/>
      <c r="X25" s="338"/>
      <c r="Y25" s="338"/>
      <c r="Z25" s="338"/>
      <c r="AA25" s="338"/>
      <c r="AB25" s="338"/>
      <c r="AC25" s="338"/>
      <c r="AD25" s="338"/>
      <c r="AE25" s="338"/>
      <c r="AF25" s="338"/>
      <c r="AG25" s="338"/>
      <c r="AH25" s="338"/>
      <c r="AI25" s="338"/>
      <c r="AJ25" s="338"/>
      <c r="AK25" s="338"/>
    </row>
    <row r="26" spans="1:38" ht="18" customHeight="1">
      <c r="A26" s="159" t="s">
        <v>194</v>
      </c>
      <c r="B26" s="159"/>
      <c r="C26" s="159"/>
      <c r="D26" s="159"/>
      <c r="E26" s="159"/>
      <c r="F26" s="129"/>
      <c r="G26" s="129"/>
      <c r="H26" s="318"/>
      <c r="I26" s="336"/>
      <c r="L26" s="156"/>
      <c r="M26" s="156"/>
      <c r="N26" s="156"/>
      <c r="O26" s="156"/>
      <c r="P26" s="156"/>
      <c r="Q26" s="156"/>
      <c r="R26" s="338"/>
      <c r="S26" s="338"/>
      <c r="T26" s="338"/>
      <c r="U26" s="338"/>
      <c r="V26" s="338"/>
      <c r="W26" s="338"/>
      <c r="X26" s="338"/>
      <c r="Y26" s="338"/>
      <c r="Z26" s="338"/>
      <c r="AA26" s="338"/>
      <c r="AB26" s="338"/>
      <c r="AC26" s="338"/>
      <c r="AD26" s="338"/>
      <c r="AE26" s="338"/>
      <c r="AF26" s="338"/>
      <c r="AG26" s="338"/>
      <c r="AH26" s="338"/>
      <c r="AI26" s="338"/>
      <c r="AJ26" s="338"/>
      <c r="AK26" s="338"/>
    </row>
    <row r="27" spans="1:38" ht="33">
      <c r="A27" s="462" t="s">
        <v>195</v>
      </c>
      <c r="B27" s="1095" t="s">
        <v>196</v>
      </c>
      <c r="C27" s="1095"/>
      <c r="D27" s="462" t="s">
        <v>183</v>
      </c>
      <c r="E27" s="462" t="s">
        <v>184</v>
      </c>
      <c r="F27" s="463" t="s">
        <v>490</v>
      </c>
      <c r="G27" s="463" t="s">
        <v>186</v>
      </c>
      <c r="H27" s="464" t="s">
        <v>187</v>
      </c>
      <c r="I27" s="462" t="s">
        <v>188</v>
      </c>
      <c r="J27" s="462" t="s">
        <v>210</v>
      </c>
      <c r="L27" s="156"/>
      <c r="M27" s="156"/>
      <c r="N27" s="156"/>
      <c r="O27" s="156"/>
      <c r="P27" s="156"/>
      <c r="Q27" s="156"/>
      <c r="R27" s="338"/>
      <c r="S27" s="338"/>
      <c r="T27" s="338"/>
      <c r="U27" s="338"/>
      <c r="V27" s="338"/>
      <c r="W27" s="338"/>
      <c r="X27" s="338"/>
      <c r="Y27" s="338"/>
      <c r="Z27" s="338"/>
      <c r="AA27" s="338"/>
      <c r="AB27" s="338"/>
      <c r="AC27" s="338"/>
      <c r="AD27" s="338"/>
      <c r="AE27" s="338"/>
      <c r="AF27" s="338"/>
      <c r="AG27" s="338"/>
      <c r="AH27" s="338"/>
      <c r="AI27" s="338"/>
      <c r="AJ27" s="338"/>
      <c r="AK27" s="338"/>
    </row>
    <row r="28" spans="1:38" ht="18" customHeight="1">
      <c r="A28" s="1124" t="str">
        <f>A13</f>
        <v>안전</v>
      </c>
      <c r="B28" s="1156" t="s">
        <v>520</v>
      </c>
      <c r="C28" s="1157"/>
      <c r="D28" s="1124" t="s">
        <v>609</v>
      </c>
      <c r="E28" s="1096"/>
      <c r="F28" s="306" t="s">
        <v>424</v>
      </c>
      <c r="G28" s="306" t="s">
        <v>540</v>
      </c>
      <c r="H28" s="343" t="str">
        <f>IF(F28="","행을 삭제하시오",IF(AND(F28="기술사",G28="기술사"),"적격",IF(AND(F28="특급",G28="특급"),"적격",IF(AND(F28="고급이상",OR(G28="특급",G28="고급")),"적격",IF(AND(F28="중급이상",OR(G28="특급",G28="고급",G28="중급")),"적격",IF(AND(F28="초급이상",OR(G28="특급",G28="고급",G28="중급",G28="초급")),"적격",IF(AND(F28="초급이상중급이하",OR(G28="초급",G28="중급")),"적격","부적격")))))))</f>
        <v>적격</v>
      </c>
      <c r="I28" s="1154">
        <f>I13</f>
        <v>0</v>
      </c>
      <c r="J28" s="1163">
        <f>J13</f>
        <v>45915</v>
      </c>
      <c r="L28" s="156"/>
      <c r="M28" s="156"/>
      <c r="N28" s="156"/>
      <c r="O28" s="156"/>
      <c r="P28" s="156"/>
      <c r="Q28" s="156"/>
      <c r="R28" s="338"/>
      <c r="S28" s="338"/>
      <c r="T28" s="338"/>
      <c r="U28" s="338"/>
      <c r="V28" s="338"/>
      <c r="W28" s="338"/>
      <c r="X28" s="338"/>
      <c r="Y28" s="338"/>
      <c r="Z28" s="338"/>
      <c r="AA28" s="338"/>
      <c r="AB28" s="338"/>
      <c r="AC28" s="338"/>
      <c r="AD28" s="338"/>
      <c r="AE28" s="338"/>
      <c r="AF28" s="338"/>
      <c r="AG28" s="338"/>
      <c r="AH28" s="338"/>
      <c r="AI28" s="338"/>
      <c r="AJ28" s="338"/>
      <c r="AK28" s="338"/>
    </row>
    <row r="29" spans="1:38" ht="33">
      <c r="A29" s="1126"/>
      <c r="B29" s="1158"/>
      <c r="C29" s="1159"/>
      <c r="D29" s="1126"/>
      <c r="E29" s="1162"/>
      <c r="F29" s="463" t="s">
        <v>491</v>
      </c>
      <c r="G29" s="477"/>
      <c r="H29" s="478"/>
      <c r="I29" s="1154"/>
      <c r="J29" s="1154"/>
      <c r="L29" s="156"/>
      <c r="M29" s="156"/>
      <c r="N29" s="156"/>
      <c r="O29" s="156"/>
      <c r="P29" s="156"/>
      <c r="Q29" s="156"/>
      <c r="R29" s="338"/>
      <c r="S29" s="338"/>
      <c r="T29" s="338"/>
      <c r="U29" s="338"/>
      <c r="V29" s="338"/>
      <c r="W29" s="338"/>
      <c r="X29" s="338"/>
      <c r="Y29" s="338"/>
      <c r="Z29" s="338"/>
      <c r="AA29" s="338"/>
      <c r="AB29" s="338"/>
      <c r="AC29" s="338"/>
      <c r="AD29" s="338"/>
      <c r="AE29" s="338"/>
      <c r="AF29" s="338"/>
      <c r="AG29" s="338"/>
      <c r="AH29" s="338"/>
      <c r="AI29" s="338"/>
      <c r="AJ29" s="338"/>
      <c r="AK29" s="338"/>
    </row>
    <row r="30" spans="1:38" ht="18" customHeight="1">
      <c r="A30" s="1126"/>
      <c r="B30" s="1158"/>
      <c r="C30" s="1159"/>
      <c r="D30" s="1126"/>
      <c r="E30" s="1162"/>
      <c r="F30" s="306" t="s">
        <v>497</v>
      </c>
      <c r="G30" s="306" t="s">
        <v>540</v>
      </c>
      <c r="H30" s="343" t="str">
        <f>IF(F30="","행을 삭제하시오",IF(AND(F30="기술사",G30="기술사"),"적격",IF(AND(F30="특급",G30="특급"),"적격",IF(AND(F30="고급이상",OR(G30="특급",G30="고급")),"적격",IF(AND(F30="중급이상",OR(G30="특급",G30="고급",G30="중급")),"적격",IF(AND(F30="초급이상",OR(G30="특급",G30="고급",G30="중급",G30="초급")),"적격",IF(AND(F30="초급이상중급이하",OR(G30="초급",G30="중급")),"적격","부적격")))))))</f>
        <v>적격</v>
      </c>
      <c r="I30" s="1154"/>
      <c r="J30" s="1154"/>
      <c r="L30" s="156"/>
      <c r="M30" s="156"/>
      <c r="N30" s="156"/>
      <c r="O30" s="156"/>
      <c r="P30" s="156"/>
      <c r="Q30" s="156"/>
      <c r="R30" s="338"/>
      <c r="S30" s="338"/>
      <c r="T30" s="338"/>
      <c r="U30" s="338"/>
      <c r="V30" s="338"/>
      <c r="W30" s="338"/>
      <c r="X30" s="338"/>
      <c r="Y30" s="338"/>
      <c r="Z30" s="338"/>
      <c r="AA30" s="338"/>
      <c r="AB30" s="338"/>
      <c r="AC30" s="338"/>
      <c r="AD30" s="338"/>
      <c r="AE30" s="338"/>
      <c r="AF30" s="338"/>
      <c r="AG30" s="338"/>
      <c r="AH30" s="338"/>
      <c r="AI30" s="338"/>
      <c r="AJ30" s="338"/>
      <c r="AK30" s="338"/>
    </row>
    <row r="31" spans="1:38" ht="33">
      <c r="A31" s="1126"/>
      <c r="B31" s="1158"/>
      <c r="C31" s="1159"/>
      <c r="D31" s="1126"/>
      <c r="E31" s="1162"/>
      <c r="F31" s="463" t="s">
        <v>492</v>
      </c>
      <c r="G31" s="477"/>
      <c r="H31" s="478"/>
      <c r="I31" s="1154"/>
      <c r="J31" s="1154"/>
      <c r="L31" s="156"/>
      <c r="M31" s="156"/>
      <c r="N31" s="156"/>
      <c r="O31" s="156"/>
      <c r="P31" s="156"/>
      <c r="Q31" s="156"/>
      <c r="R31" s="338"/>
      <c r="S31" s="338"/>
      <c r="T31" s="338"/>
      <c r="U31" s="338"/>
      <c r="V31" s="338"/>
      <c r="W31" s="338"/>
      <c r="X31" s="338"/>
      <c r="Y31" s="338"/>
      <c r="Z31" s="338"/>
      <c r="AA31" s="338"/>
      <c r="AB31" s="338"/>
      <c r="AC31" s="338"/>
      <c r="AD31" s="338"/>
      <c r="AE31" s="338"/>
      <c r="AF31" s="338"/>
      <c r="AG31" s="338"/>
      <c r="AH31" s="338"/>
      <c r="AI31" s="338"/>
      <c r="AJ31" s="338"/>
      <c r="AK31" s="338"/>
    </row>
    <row r="32" spans="1:38" ht="18" customHeight="1">
      <c r="A32" s="1125"/>
      <c r="B32" s="1160"/>
      <c r="C32" s="1161"/>
      <c r="D32" s="1125"/>
      <c r="E32" s="1097"/>
      <c r="F32" s="306" t="s">
        <v>445</v>
      </c>
      <c r="G32" s="306" t="s">
        <v>540</v>
      </c>
      <c r="H32" s="343" t="str">
        <f>IF(F32="","행을 삭제하시오",IF(AND(F32="기술사",G32="기술사"),"적격",IF(AND(F32="특급",G32="특급"),"적격",IF(AND(F32="고급이상",OR(G32="특급",G32="고급")),"적격",IF(AND(F32="중급이상",OR(G32="특급",G32="고급",G32="중급")),"적격",IF(AND(F32="초급이상",OR(G32="특급",G32="고급",G32="중급",G32="초급")),"적격",IF(AND(F32="초급이상중급이하",OR(G32="초급",G32="중급")),"적격","부적격")))))))</f>
        <v>적격</v>
      </c>
      <c r="I32" s="1154"/>
      <c r="J32" s="1154"/>
      <c r="L32" s="156"/>
      <c r="M32" s="156"/>
      <c r="N32" s="156"/>
      <c r="O32" s="156"/>
      <c r="P32" s="156"/>
      <c r="Q32" s="156"/>
      <c r="R32" s="338"/>
      <c r="S32" s="338"/>
      <c r="T32" s="338"/>
      <c r="U32" s="338"/>
      <c r="V32" s="338"/>
      <c r="W32" s="338"/>
      <c r="X32" s="338"/>
      <c r="Y32" s="338"/>
      <c r="Z32" s="338"/>
      <c r="AA32" s="338"/>
      <c r="AB32" s="338"/>
      <c r="AC32" s="338"/>
      <c r="AD32" s="338"/>
      <c r="AE32" s="338"/>
      <c r="AF32" s="338"/>
      <c r="AG32" s="338"/>
      <c r="AH32" s="338"/>
      <c r="AI32" s="338"/>
      <c r="AJ32" s="338"/>
      <c r="AK32" s="338"/>
    </row>
    <row r="33" spans="1:38" ht="18" customHeight="1">
      <c r="A33" s="479"/>
      <c r="B33" s="479"/>
      <c r="C33" s="479"/>
      <c r="D33" s="479"/>
      <c r="E33" s="480"/>
      <c r="F33" s="480"/>
      <c r="G33" s="480"/>
      <c r="H33" s="481"/>
      <c r="I33" s="482"/>
      <c r="J33" s="483"/>
      <c r="K33" s="483"/>
      <c r="L33" s="156"/>
      <c r="M33" s="156"/>
      <c r="N33" s="156"/>
      <c r="O33" s="156"/>
      <c r="P33" s="156"/>
      <c r="Q33" s="156"/>
      <c r="R33" s="338"/>
      <c r="S33" s="338"/>
      <c r="T33" s="338"/>
      <c r="U33" s="338"/>
      <c r="V33" s="338"/>
      <c r="W33" s="338"/>
      <c r="X33" s="338"/>
      <c r="Y33" s="338"/>
      <c r="Z33" s="338"/>
      <c r="AA33" s="338"/>
      <c r="AB33" s="338"/>
      <c r="AC33" s="338"/>
      <c r="AD33" s="338"/>
      <c r="AE33" s="338"/>
      <c r="AF33" s="338"/>
      <c r="AG33" s="338"/>
      <c r="AH33" s="338"/>
      <c r="AI33" s="338"/>
      <c r="AJ33" s="338"/>
      <c r="AK33" s="338"/>
    </row>
    <row r="34" spans="1:38" ht="18" customHeight="1">
      <c r="A34" s="975" t="s">
        <v>213</v>
      </c>
      <c r="B34" s="975"/>
      <c r="C34" s="975"/>
      <c r="D34" s="975"/>
      <c r="E34" s="975"/>
      <c r="F34" s="975"/>
      <c r="G34" s="975"/>
      <c r="H34" s="975"/>
      <c r="I34" s="975"/>
      <c r="J34" s="975"/>
      <c r="K34" s="975"/>
      <c r="L34" s="156"/>
      <c r="M34" s="156"/>
      <c r="N34" s="156"/>
      <c r="O34" s="156"/>
      <c r="P34" s="156"/>
      <c r="Q34" s="156"/>
      <c r="R34" s="338"/>
      <c r="S34" s="338"/>
      <c r="T34" s="338"/>
      <c r="U34" s="338"/>
      <c r="V34" s="338"/>
      <c r="W34" s="338"/>
      <c r="X34" s="338"/>
      <c r="Y34" s="338"/>
      <c r="Z34" s="338"/>
      <c r="AA34" s="338"/>
      <c r="AB34" s="338"/>
      <c r="AC34" s="338"/>
      <c r="AD34" s="338"/>
      <c r="AE34" s="338"/>
      <c r="AF34" s="338"/>
      <c r="AG34" s="338"/>
      <c r="AH34" s="338"/>
      <c r="AI34" s="338"/>
      <c r="AJ34" s="338"/>
      <c r="AK34" s="338"/>
    </row>
    <row r="35" spans="1:38" ht="18" customHeight="1">
      <c r="A35" s="168"/>
      <c r="B35" s="169"/>
      <c r="C35" s="169"/>
      <c r="D35" s="169"/>
      <c r="E35" s="128"/>
      <c r="F35" s="352"/>
      <c r="G35" s="329"/>
      <c r="H35" s="353"/>
      <c r="I35" s="336"/>
      <c r="L35" s="156"/>
      <c r="M35" s="156"/>
      <c r="N35" s="156"/>
      <c r="O35" s="156"/>
      <c r="P35" s="156"/>
      <c r="Q35" s="156"/>
      <c r="R35" s="338"/>
      <c r="S35" s="338"/>
      <c r="T35" s="338"/>
      <c r="U35" s="338"/>
      <c r="V35" s="338"/>
      <c r="W35" s="338"/>
      <c r="X35" s="338"/>
      <c r="Y35" s="338"/>
      <c r="Z35" s="338"/>
      <c r="AA35" s="338"/>
      <c r="AB35" s="338"/>
      <c r="AC35" s="338"/>
      <c r="AD35" s="338"/>
      <c r="AE35" s="338"/>
      <c r="AF35" s="338"/>
      <c r="AG35" s="338"/>
      <c r="AH35" s="338"/>
      <c r="AI35" s="338"/>
      <c r="AJ35" s="338"/>
      <c r="AK35" s="338"/>
    </row>
    <row r="36" spans="1:38" ht="18" customHeight="1">
      <c r="A36" s="1155" t="s">
        <v>541</v>
      </c>
      <c r="B36" s="1155"/>
      <c r="C36" s="1155"/>
      <c r="D36" s="1155"/>
      <c r="E36" s="1155"/>
      <c r="F36" s="1155"/>
      <c r="G36" s="1155"/>
      <c r="H36" s="1155"/>
      <c r="I36" s="1155"/>
      <c r="J36" s="1155"/>
      <c r="L36" s="156"/>
      <c r="M36" s="156"/>
      <c r="N36" s="156"/>
      <c r="O36" s="156"/>
      <c r="P36" s="156"/>
      <c r="Q36" s="156"/>
      <c r="R36" s="338"/>
      <c r="S36" s="338"/>
      <c r="T36" s="338"/>
      <c r="U36" s="338"/>
      <c r="V36" s="338"/>
      <c r="W36" s="338"/>
      <c r="X36" s="338"/>
      <c r="Y36" s="338"/>
      <c r="Z36" s="338"/>
      <c r="AA36" s="338"/>
      <c r="AB36" s="338"/>
      <c r="AC36" s="338"/>
      <c r="AD36" s="338"/>
      <c r="AE36" s="338"/>
      <c r="AF36" s="338"/>
      <c r="AG36" s="338"/>
      <c r="AH36" s="338"/>
      <c r="AI36" s="338"/>
      <c r="AJ36" s="338"/>
      <c r="AK36" s="338"/>
    </row>
    <row r="37" spans="1:38" ht="18" customHeight="1">
      <c r="A37" s="354"/>
      <c r="B37" s="354"/>
      <c r="C37" s="354"/>
      <c r="D37" s="354"/>
      <c r="E37" s="355"/>
      <c r="F37" s="355"/>
      <c r="G37" s="356"/>
      <c r="H37" s="357"/>
      <c r="I37" s="358"/>
      <c r="L37" s="156"/>
      <c r="M37" s="156"/>
      <c r="N37" s="156"/>
      <c r="O37" s="156"/>
      <c r="P37" s="156"/>
      <c r="Q37" s="156"/>
      <c r="R37" s="338"/>
      <c r="S37" s="338"/>
      <c r="T37" s="338"/>
      <c r="U37" s="338"/>
      <c r="V37" s="338"/>
      <c r="W37" s="338"/>
      <c r="X37" s="338"/>
      <c r="Y37" s="338"/>
      <c r="Z37" s="338"/>
      <c r="AA37" s="338"/>
      <c r="AB37" s="338"/>
      <c r="AC37" s="338"/>
      <c r="AD37" s="338"/>
      <c r="AE37" s="338"/>
      <c r="AF37" s="338"/>
      <c r="AG37" s="338"/>
      <c r="AH37" s="338"/>
      <c r="AI37" s="338"/>
      <c r="AJ37" s="338"/>
      <c r="AK37" s="338"/>
    </row>
    <row r="38" spans="1:38" ht="15" customHeight="1">
      <c r="E38" s="355"/>
      <c r="F38" s="355"/>
      <c r="G38" s="356"/>
      <c r="H38" s="357"/>
      <c r="I38" s="358"/>
      <c r="L38" s="156"/>
      <c r="M38" s="156"/>
      <c r="N38" s="156"/>
      <c r="O38" s="156"/>
      <c r="P38" s="156"/>
      <c r="Q38" s="156"/>
    </row>
    <row r="39" spans="1:38" ht="15" customHeight="1">
      <c r="F39" s="359"/>
      <c r="G39" s="359"/>
      <c r="H39" s="359"/>
      <c r="I39" s="359"/>
      <c r="R39" s="338"/>
      <c r="S39" s="338"/>
      <c r="T39" s="338"/>
      <c r="U39" s="338"/>
      <c r="V39" s="338"/>
      <c r="W39" s="338"/>
      <c r="X39" s="338"/>
      <c r="Y39" s="338"/>
      <c r="Z39" s="338"/>
      <c r="AA39" s="338"/>
      <c r="AB39" s="338"/>
      <c r="AC39" s="338"/>
      <c r="AD39" s="338"/>
      <c r="AE39" s="338"/>
      <c r="AF39" s="338"/>
      <c r="AG39" s="338"/>
      <c r="AH39" s="338"/>
      <c r="AI39" s="338"/>
      <c r="AJ39" s="338"/>
      <c r="AK39" s="338"/>
    </row>
    <row r="40" spans="1:38" s="360" customFormat="1" ht="19.5" customHeight="1">
      <c r="A40" s="359"/>
      <c r="B40" s="359"/>
      <c r="C40" s="359"/>
      <c r="D40" s="359"/>
      <c r="E40" s="359"/>
      <c r="F40" s="359"/>
      <c r="G40" s="359"/>
      <c r="H40" s="359"/>
      <c r="I40" s="359"/>
      <c r="R40" s="338"/>
      <c r="S40" s="338"/>
      <c r="T40" s="338"/>
      <c r="U40" s="338"/>
      <c r="V40" s="338"/>
      <c r="W40" s="338"/>
      <c r="X40" s="338"/>
      <c r="Y40" s="338"/>
      <c r="Z40" s="338"/>
      <c r="AA40" s="338"/>
      <c r="AB40" s="338"/>
      <c r="AC40" s="338"/>
      <c r="AD40" s="338"/>
      <c r="AE40" s="338"/>
      <c r="AF40" s="338"/>
      <c r="AG40" s="338"/>
      <c r="AH40" s="338"/>
      <c r="AI40" s="338"/>
      <c r="AJ40" s="338"/>
      <c r="AK40" s="338"/>
      <c r="AL40" s="156"/>
    </row>
    <row r="41" spans="1:38" s="128" customFormat="1" ht="17.25">
      <c r="A41" s="359"/>
      <c r="B41" s="359"/>
      <c r="C41" s="359"/>
      <c r="D41" s="359"/>
      <c r="E41" s="359"/>
      <c r="F41" s="359"/>
      <c r="G41" s="359"/>
      <c r="H41" s="359"/>
      <c r="I41" s="361"/>
      <c r="K41" s="361" t="s">
        <v>197</v>
      </c>
      <c r="L41" s="361"/>
      <c r="M41" s="361"/>
      <c r="N41" s="361"/>
      <c r="O41" s="280"/>
      <c r="P41" s="280"/>
      <c r="Q41" s="280"/>
      <c r="R41" s="338"/>
      <c r="S41" s="338"/>
      <c r="T41" s="338"/>
      <c r="U41" s="338"/>
      <c r="V41" s="338"/>
      <c r="W41" s="338"/>
      <c r="X41" s="338"/>
      <c r="Y41" s="338"/>
      <c r="Z41" s="338"/>
      <c r="AA41" s="338"/>
      <c r="AB41" s="338"/>
      <c r="AC41" s="338"/>
      <c r="AD41" s="338"/>
      <c r="AE41" s="338"/>
      <c r="AF41" s="338"/>
      <c r="AG41" s="338"/>
      <c r="AH41" s="338"/>
      <c r="AI41" s="338"/>
      <c r="AJ41" s="338"/>
      <c r="AK41" s="338"/>
      <c r="AL41" s="156"/>
    </row>
    <row r="42" spans="1:38" ht="17.25">
      <c r="A42" s="359"/>
      <c r="I42" s="359"/>
      <c r="K42" s="1172" t="s">
        <v>433</v>
      </c>
      <c r="L42" s="1172"/>
      <c r="M42" s="1172"/>
      <c r="N42" s="362"/>
      <c r="O42" s="1172" t="s">
        <v>434</v>
      </c>
      <c r="P42" s="1172"/>
      <c r="Q42" s="1172"/>
    </row>
    <row r="43" spans="1:38" ht="17.25">
      <c r="A43" s="363"/>
      <c r="I43" s="364"/>
      <c r="K43" s="1102" t="s">
        <v>198</v>
      </c>
      <c r="L43" s="365" t="s">
        <v>199</v>
      </c>
      <c r="M43" s="366" t="str">
        <f>IF('자기평가서(2단계-종합기술제안서 정량평가)'!$F$22="","",IF(AND($F$12="특급",'자기평가서(2단계-종합기술제안서 정량평가)'!$F$22&gt;=12),9,IF(AND($F$12="특급",'자기평가서(2단계-종합기술제안서 정량평가)'!$F$22&lt;12,'자기평가서(2단계-종합기술제안서 정량평가)'!$F$22&gt;=10),8,IF(AND($F$12="특급",'자기평가서(2단계-종합기술제안서 정량평가)'!$F$22&lt;10),7,"FALSE"))))</f>
        <v>FALSE</v>
      </c>
      <c r="N43" s="338"/>
      <c r="O43" s="1102" t="s">
        <v>198</v>
      </c>
      <c r="P43" s="365" t="s">
        <v>199</v>
      </c>
      <c r="Q43" s="366" t="b">
        <f>IF('자기평가서(2단계-종합기술제안서 정량평가)'!F25="","",IF(AND(F12="특급",'자기평가서(2단계-종합기술제안서 정량평가)'!F25&gt;=60),15,IF(AND(F12="특급",'자기평가서(2단계-종합기술제안서 정량평가)'!F25&lt;60,'자기평가서(2단계-종합기술제안서 정량평가)'!F25&gt;=48),13.5,IF(AND(F12="특급",'자기평가서(2단계-종합기술제안서 정량평가)'!F25&lt;48,'자기평가서(2단계-종합기술제안서 정량평가)'!F25&gt;=36),12,IF(AND(F12="특급",'자기평가서(2단계-종합기술제안서 정량평가)'!F25&lt;36,'자기평가서(2단계-종합기술제안서 정량평가)'!F25&gt;=24),10.5,IF(AND(F12="특급",'자기평가서(2단계-종합기술제안서 정량평가)'!F25&lt;24),9))))))</f>
        <v>0</v>
      </c>
      <c r="R43" s="338"/>
      <c r="S43" s="338"/>
      <c r="T43" s="338"/>
      <c r="U43" s="338"/>
      <c r="V43" s="338"/>
      <c r="W43" s="338"/>
      <c r="X43" s="338"/>
      <c r="Y43" s="338"/>
      <c r="Z43" s="338"/>
      <c r="AA43" s="338"/>
      <c r="AB43" s="338"/>
      <c r="AC43" s="338"/>
      <c r="AD43" s="338"/>
      <c r="AE43" s="338"/>
      <c r="AF43" s="338"/>
      <c r="AG43" s="338"/>
      <c r="AH43" s="338"/>
      <c r="AI43" s="338"/>
      <c r="AJ43" s="338"/>
      <c r="AK43" s="338"/>
      <c r="AL43" s="285"/>
    </row>
    <row r="44" spans="1:38" ht="20.25">
      <c r="A44" s="367" t="s">
        <v>200</v>
      </c>
      <c r="I44" s="364"/>
      <c r="K44" s="1165"/>
      <c r="L44" s="365" t="s">
        <v>201</v>
      </c>
      <c r="M44" s="366" t="str">
        <f>IF('자기평가서(2단계-종합기술제안서 정량평가)'!$F$22="","",IF(AND($F$12="고급이상",'자기평가서(2단계-종합기술제안서 정량평가)'!$F$22&gt;=8),9,IF(AND($F$12="고급이상",'자기평가서(2단계-종합기술제안서 정량평가)'!$F$22&lt;8,'자기평가서(2단계-종합기술제안서 정량평가)'!$F$22&gt;=7),8,IF(AND($F$12="고급이상",'자기평가서(2단계-종합기술제안서 정량평가)'!$F$22&lt;7),7,"FALSE"))))</f>
        <v>FALSE</v>
      </c>
      <c r="N44" s="334"/>
      <c r="O44" s="1165"/>
      <c r="P44" s="365" t="s">
        <v>201</v>
      </c>
      <c r="Q44" s="366" t="b">
        <f>IF('자기평가서(2단계-종합기술제안서 정량평가)'!F25="","",IF(AND(F12="고급이상",'자기평가서(2단계-종합기술제안서 정량평가)'!F25&gt;=48),15,IF(AND(F12="고급이상",'자기평가서(2단계-종합기술제안서 정량평가)'!F25&lt;48,'자기평가서(2단계-종합기술제안서 정량평가)'!F25&gt;=36),13.5,IF(AND(F12="고급이상",'자기평가서(2단계-종합기술제안서 정량평가)'!F25&lt;36,'자기평가서(2단계-종합기술제안서 정량평가)'!F25&gt;=24),12,IF(AND(F12="고급이상",'자기평가서(2단계-종합기술제안서 정량평가)'!F25&lt;24),10.5)))))</f>
        <v>0</v>
      </c>
      <c r="R44" s="338"/>
      <c r="S44" s="338"/>
      <c r="T44" s="338"/>
      <c r="U44" s="338"/>
      <c r="V44" s="338"/>
      <c r="W44" s="338"/>
      <c r="X44" s="338"/>
      <c r="Y44" s="338"/>
      <c r="Z44" s="338"/>
      <c r="AA44" s="338"/>
      <c r="AB44" s="338"/>
      <c r="AC44" s="338"/>
      <c r="AD44" s="338"/>
      <c r="AE44" s="338"/>
      <c r="AF44" s="338"/>
      <c r="AG44" s="338"/>
      <c r="AH44" s="338"/>
      <c r="AI44" s="338"/>
      <c r="AJ44" s="338"/>
      <c r="AK44" s="338"/>
      <c r="AL44" s="285"/>
    </row>
    <row r="45" spans="1:38" ht="17.25">
      <c r="A45" s="360"/>
      <c r="I45" s="364"/>
      <c r="K45" s="1165"/>
      <c r="L45" s="365" t="s">
        <v>202</v>
      </c>
      <c r="M45" s="366">
        <f>IF('자기평가서(2단계-종합기술제안서 정량평가)'!$F$22="","",IF(AND($F$12="중급이상",'자기평가서(2단계-종합기술제안서 정량평가)'!$F$22&gt;=3),9,IF(AND($F$12="중급이상",'자기평가서(2단계-종합기술제안서 정량평가)'!$F$22&lt;3,'자기평가서(2단계-종합기술제안서 정량평가)'!$F$22&gt;=2),8,IF(AND($F$12="중급이상",'자기평가서(2단계-종합기술제안서 정량평가)'!$F$22&lt;2),7,"FALSE"))))</f>
        <v>9</v>
      </c>
      <c r="N45" s="338"/>
      <c r="O45" s="1165"/>
      <c r="P45" s="365" t="s">
        <v>202</v>
      </c>
      <c r="Q45" s="366">
        <f>IF('자기평가서(2단계-종합기술제안서 정량평가)'!F25="","",IF(AND(F12="중급이상",'자기평가서(2단계-종합기술제안서 정량평가)'!F25&gt;=36),15,IF(AND(F12="중급이상",'자기평가서(2단계-종합기술제안서 정량평가)'!F25&lt;36),13.5)))</f>
        <v>13.5</v>
      </c>
      <c r="R45" s="338"/>
      <c r="S45" s="338"/>
      <c r="T45" s="338"/>
      <c r="U45" s="338"/>
      <c r="V45" s="338"/>
      <c r="W45" s="338"/>
      <c r="X45" s="338"/>
      <c r="Y45" s="338"/>
      <c r="Z45" s="338"/>
      <c r="AA45" s="338"/>
      <c r="AB45" s="338"/>
      <c r="AC45" s="338"/>
      <c r="AD45" s="338"/>
      <c r="AE45" s="338"/>
      <c r="AF45" s="338"/>
      <c r="AG45" s="338"/>
      <c r="AH45" s="338"/>
      <c r="AI45" s="338"/>
      <c r="AJ45" s="338"/>
      <c r="AK45" s="338"/>
      <c r="AL45" s="285"/>
    </row>
    <row r="46" spans="1:38" ht="17.25">
      <c r="A46" s="360"/>
      <c r="I46" s="364"/>
      <c r="K46" s="1103"/>
      <c r="L46" s="365" t="s">
        <v>305</v>
      </c>
      <c r="M46" s="366" t="str">
        <f>IF('자기평가서(2단계-종합기술제안서 정량평가)'!$F$22="","",IF(AND($F$12="초급이상",'자기평가서(2단계-종합기술제안서 정량평가)'!$F$22&gt;=3),9,IF(AND($F$12="초급이상",'자기평가서(2단계-종합기술제안서 정량평가)'!$F$22&lt;3,'자기평가서(2단계-종합기술제안서 정량평가)'!$F$22&gt;=2),8,IF(AND($F$12="초급이상",'자기평가서(2단계-종합기술제안서 정량평가)'!$F$22&lt;2),7,"FALSE"))))</f>
        <v>FALSE</v>
      </c>
      <c r="N46" s="338"/>
      <c r="O46" s="1103"/>
      <c r="P46" s="365" t="s">
        <v>305</v>
      </c>
      <c r="Q46" s="366" t="b">
        <f>IF('자기평가서(2단계-종합기술제안서 정량평가)'!F25="","",IF(AND(F12="초급이상",'자기평가서(2단계-종합기술제안서 정량평가)'!F25&gt;=36),15,IF(AND(F12="초급이상",'자기평가서(2단계-종합기술제안서 정량평가)'!F25&lt;36),13.5)))</f>
        <v>0</v>
      </c>
      <c r="R46" s="338"/>
      <c r="S46" s="338"/>
      <c r="T46" s="338"/>
      <c r="U46" s="338"/>
      <c r="V46" s="338"/>
      <c r="W46" s="338"/>
      <c r="X46" s="338"/>
      <c r="Y46" s="338"/>
      <c r="Z46" s="338"/>
      <c r="AA46" s="338"/>
      <c r="AB46" s="338"/>
      <c r="AC46" s="338"/>
      <c r="AD46" s="338"/>
      <c r="AE46" s="338"/>
      <c r="AF46" s="338"/>
      <c r="AG46" s="338"/>
      <c r="AH46" s="338"/>
      <c r="AI46" s="338"/>
      <c r="AJ46" s="338"/>
      <c r="AK46" s="338"/>
      <c r="AL46" s="285"/>
    </row>
    <row r="47" spans="1:38">
      <c r="K47" s="368"/>
      <c r="L47" s="369"/>
      <c r="M47" s="369"/>
      <c r="O47" s="368"/>
      <c r="P47" s="369"/>
      <c r="Q47" s="369"/>
      <c r="R47" s="285"/>
      <c r="S47" s="285"/>
      <c r="T47" s="285"/>
      <c r="U47" s="285"/>
      <c r="V47" s="285"/>
      <c r="W47" s="285"/>
      <c r="X47" s="285"/>
      <c r="Y47" s="285"/>
      <c r="Z47" s="285"/>
      <c r="AA47" s="285"/>
      <c r="AB47" s="285"/>
      <c r="AC47" s="285"/>
      <c r="AD47" s="285"/>
      <c r="AE47" s="285"/>
      <c r="AF47" s="285"/>
      <c r="AG47" s="285"/>
      <c r="AH47" s="285"/>
      <c r="AI47" s="285"/>
      <c r="AJ47" s="285"/>
      <c r="AK47" s="285"/>
      <c r="AL47" s="285"/>
    </row>
    <row r="48" spans="1:38" ht="17.25">
      <c r="K48" s="1102" t="s">
        <v>203</v>
      </c>
      <c r="L48" s="365" t="s">
        <v>199</v>
      </c>
      <c r="M48" s="366" t="e">
        <f>IF('자기평가서(2단계-종합기술제안서 정량평가)'!#REF!="","",IF(AND($F$14="특급",'자기평가서(2단계-종합기술제안서 정량평가)'!#REF!&gt;=12),9,IF(AND($F$14="특급",'자기평가서(2단계-종합기술제안서 정량평가)'!#REF!&lt;12,'자기평가서(2단계-종합기술제안서 정량평가)'!#REF!&gt;=10),8,IF(AND($F$14="특급",'자기평가서(2단계-종합기술제안서 정량평가)'!#REF!&lt;10),7,"FALSE"))))</f>
        <v>#REF!</v>
      </c>
      <c r="N48" s="338"/>
      <c r="O48" s="1102" t="s">
        <v>203</v>
      </c>
      <c r="P48" s="365" t="s">
        <v>199</v>
      </c>
      <c r="Q48" s="366" t="e">
        <f>IF('자기평가서(2단계-종합기술제안서 정량평가)'!#REF!="","",IF(AND(F14="특급",'자기평가서(2단계-종합기술제안서 정량평가)'!#REF!&gt;=60),15,IF(AND(F14="특급",'자기평가서(2단계-종합기술제안서 정량평가)'!#REF!&lt;60,'자기평가서(2단계-종합기술제안서 정량평가)'!#REF!&gt;=48),13.5,IF(AND(F14="특급",'자기평가서(2단계-종합기술제안서 정량평가)'!#REF!&lt;48,'자기평가서(2단계-종합기술제안서 정량평가)'!#REF!&gt;=36),12,IF(AND(F14="특급",'자기평가서(2단계-종합기술제안서 정량평가)'!#REF!&lt;36,'자기평가서(2단계-종합기술제안서 정량평가)'!#REF!&gt;=24),10.5,IF(AND(F14="특급",'자기평가서(2단계-종합기술제안서 정량평가)'!#REF!&lt;24),9))))))</f>
        <v>#REF!</v>
      </c>
      <c r="R48" s="285"/>
      <c r="S48" s="285"/>
      <c r="T48" s="285"/>
      <c r="U48" s="285"/>
      <c r="V48" s="285"/>
      <c r="W48" s="285"/>
      <c r="X48" s="285"/>
      <c r="Y48" s="285"/>
      <c r="Z48" s="285"/>
      <c r="AA48" s="285"/>
      <c r="AB48" s="285"/>
      <c r="AC48" s="285"/>
      <c r="AD48" s="285"/>
      <c r="AE48" s="285"/>
      <c r="AF48" s="285"/>
      <c r="AG48" s="285"/>
      <c r="AH48" s="285"/>
      <c r="AI48" s="285"/>
      <c r="AJ48" s="285"/>
      <c r="AK48" s="285"/>
      <c r="AL48" s="285"/>
    </row>
    <row r="49" spans="11:38" ht="17.25">
      <c r="K49" s="1165"/>
      <c r="L49" s="365" t="s">
        <v>201</v>
      </c>
      <c r="M49" s="366" t="e">
        <f>IF('자기평가서(2단계-종합기술제안서 정량평가)'!#REF!="","",IF(AND($F$14="고급이상",'자기평가서(2단계-종합기술제안서 정량평가)'!#REF!&gt;=8),9,IF(AND($F$14="고급이상",'자기평가서(2단계-종합기술제안서 정량평가)'!#REF!&lt;8,'자기평가서(2단계-종합기술제안서 정량평가)'!#REF!&gt;=7),8,IF(AND($F$14="고급이상",'자기평가서(2단계-종합기술제안서 정량평가)'!#REF!&lt;7),7,"FALSE"))))</f>
        <v>#REF!</v>
      </c>
      <c r="N49" s="338"/>
      <c r="O49" s="1165"/>
      <c r="P49" s="365" t="s">
        <v>201</v>
      </c>
      <c r="Q49" s="366" t="e">
        <f>IF('자기평가서(2단계-종합기술제안서 정량평가)'!#REF!="","",IF(AND(F14="고급이상",'자기평가서(2단계-종합기술제안서 정량평가)'!#REF!&gt;=48),15,IF(AND(F14="고급이상",'자기평가서(2단계-종합기술제안서 정량평가)'!#REF!&lt;48,'자기평가서(2단계-종합기술제안서 정량평가)'!#REF!&gt;=36),13.5,IF(AND(F14="고급이상",'자기평가서(2단계-종합기술제안서 정량평가)'!#REF!&lt;36,'자기평가서(2단계-종합기술제안서 정량평가)'!#REF!&gt;=24),12,IF(AND(F14="고급이상",'자기평가서(2단계-종합기술제안서 정량평가)'!#REF!&lt;24),10.5)))))</f>
        <v>#REF!</v>
      </c>
      <c r="R49" s="285"/>
      <c r="S49" s="285"/>
      <c r="T49" s="285"/>
      <c r="U49" s="285"/>
      <c r="V49" s="285"/>
      <c r="W49" s="285"/>
      <c r="X49" s="285"/>
      <c r="Y49" s="285"/>
      <c r="Z49" s="285"/>
      <c r="AA49" s="285"/>
      <c r="AB49" s="285"/>
      <c r="AC49" s="285"/>
      <c r="AD49" s="285"/>
      <c r="AE49" s="285"/>
      <c r="AF49" s="285"/>
      <c r="AG49" s="285"/>
      <c r="AH49" s="285"/>
      <c r="AI49" s="285"/>
      <c r="AJ49" s="285"/>
      <c r="AK49" s="285"/>
      <c r="AL49" s="285"/>
    </row>
    <row r="50" spans="11:38" ht="17.25">
      <c r="K50" s="1165"/>
      <c r="L50" s="365" t="s">
        <v>202</v>
      </c>
      <c r="M50" s="366" t="e">
        <f>IF('자기평가서(2단계-종합기술제안서 정량평가)'!#REF!="","",IF(AND($F$14="중급이상",'자기평가서(2단계-종합기술제안서 정량평가)'!#REF!&gt;=3),9,IF(AND($F$14="중급이상",'자기평가서(2단계-종합기술제안서 정량평가)'!#REF!&lt;3,'자기평가서(2단계-종합기술제안서 정량평가)'!#REF!&gt;=2),8,IF(AND($F$14="중급이상",'자기평가서(2단계-종합기술제안서 정량평가)'!#REF!&lt;2),7,"FALSE"))))</f>
        <v>#REF!</v>
      </c>
      <c r="N50" s="338"/>
      <c r="O50" s="1165"/>
      <c r="P50" s="365" t="s">
        <v>202</v>
      </c>
      <c r="Q50" s="366" t="e">
        <f>IF('자기평가서(2단계-종합기술제안서 정량평가)'!#REF!="","",IF(AND(F14="중급이상",'자기평가서(2단계-종합기술제안서 정량평가)'!#REF!&gt;=36),15,IF(AND(F14="중급이상",'자기평가서(2단계-종합기술제안서 정량평가)'!#REF!&lt;36),13.5)))</f>
        <v>#REF!</v>
      </c>
      <c r="R50" s="285"/>
      <c r="S50" s="285"/>
      <c r="T50" s="285"/>
      <c r="U50" s="285"/>
      <c r="V50" s="285"/>
      <c r="W50" s="285"/>
      <c r="X50" s="285"/>
      <c r="Y50" s="285"/>
      <c r="Z50" s="285"/>
      <c r="AA50" s="285"/>
      <c r="AB50" s="285"/>
      <c r="AC50" s="285"/>
      <c r="AD50" s="285"/>
      <c r="AE50" s="285"/>
      <c r="AF50" s="285"/>
      <c r="AG50" s="285"/>
      <c r="AH50" s="285"/>
      <c r="AI50" s="285"/>
      <c r="AJ50" s="285"/>
      <c r="AK50" s="285"/>
      <c r="AL50" s="285"/>
    </row>
    <row r="51" spans="11:38" ht="17.25">
      <c r="K51" s="1103"/>
      <c r="L51" s="365" t="s">
        <v>305</v>
      </c>
      <c r="M51" s="366" t="e">
        <f>IF('자기평가서(2단계-종합기술제안서 정량평가)'!#REF!="","",IF(AND($F$14="초급이상",'자기평가서(2단계-종합기술제안서 정량평가)'!#REF!&gt;=3),9,IF(AND($F$14="초급이상",'자기평가서(2단계-종합기술제안서 정량평가)'!#REF!&lt;3,'자기평가서(2단계-종합기술제안서 정량평가)'!#REF!&gt;=2),8,IF(AND($F$14="초급이상",'자기평가서(2단계-종합기술제안서 정량평가)'!#REF!&lt;2),7,"FALSE"))))</f>
        <v>#REF!</v>
      </c>
      <c r="N51" s="338"/>
      <c r="O51" s="1103"/>
      <c r="P51" s="365" t="s">
        <v>305</v>
      </c>
      <c r="Q51" s="366" t="e">
        <f>IF('자기평가서(2단계-종합기술제안서 정량평가)'!#REF!="","",IF(AND(F14="초급이상",'자기평가서(2단계-종합기술제안서 정량평가)'!#REF!&gt;=36),15,IF(AND(F14="초급이상",'자기평가서(2단계-종합기술제안서 정량평가)'!#REF!&lt;36),13.5)))</f>
        <v>#REF!</v>
      </c>
      <c r="R51" s="285"/>
      <c r="S51" s="285"/>
      <c r="T51" s="285"/>
      <c r="U51" s="285"/>
      <c r="V51" s="285"/>
      <c r="W51" s="285"/>
      <c r="X51" s="285"/>
      <c r="Y51" s="285"/>
      <c r="Z51" s="285"/>
      <c r="AA51" s="285"/>
      <c r="AB51" s="285"/>
      <c r="AC51" s="285"/>
      <c r="AD51" s="285"/>
      <c r="AE51" s="285"/>
      <c r="AF51" s="285"/>
      <c r="AG51" s="285"/>
      <c r="AH51" s="285"/>
      <c r="AI51" s="285"/>
      <c r="AJ51" s="285"/>
      <c r="AK51" s="285"/>
      <c r="AL51" s="285"/>
    </row>
    <row r="52" spans="11:38">
      <c r="K52" s="368"/>
      <c r="L52" s="369"/>
      <c r="M52" s="369"/>
      <c r="O52" s="368"/>
      <c r="P52" s="369"/>
      <c r="Q52" s="369"/>
      <c r="R52" s="285"/>
      <c r="S52" s="285"/>
      <c r="T52" s="285"/>
      <c r="U52" s="285"/>
      <c r="V52" s="285"/>
      <c r="W52" s="285"/>
      <c r="X52" s="285"/>
      <c r="Y52" s="285"/>
      <c r="Z52" s="285"/>
      <c r="AA52" s="285"/>
      <c r="AB52" s="285"/>
      <c r="AC52" s="285"/>
      <c r="AD52" s="285"/>
      <c r="AE52" s="285"/>
      <c r="AF52" s="285"/>
      <c r="AG52" s="285"/>
      <c r="AH52" s="285"/>
      <c r="AI52" s="285"/>
      <c r="AJ52" s="285"/>
      <c r="AK52" s="285"/>
      <c r="AL52" s="285"/>
    </row>
    <row r="53" spans="11:38" ht="17.25">
      <c r="K53" s="1102" t="s">
        <v>204</v>
      </c>
      <c r="L53" s="365" t="s">
        <v>199</v>
      </c>
      <c r="M53" s="366" t="e">
        <f>IF('자기평가서(2단계-종합기술제안서 정량평가)'!#REF!="","",IF(AND($F$15="특급",'자기평가서(2단계-종합기술제안서 정량평가)'!#REF!&gt;=12),9,IF(AND($F$15="특급",'자기평가서(2단계-종합기술제안서 정량평가)'!#REF!&lt;12,'자기평가서(2단계-종합기술제안서 정량평가)'!#REF!&gt;=10),8,IF(AND($F$15="특급",'자기평가서(2단계-종합기술제안서 정량평가)'!#REF!&lt;10),7,"FALSE"))))</f>
        <v>#REF!</v>
      </c>
      <c r="N53" s="338"/>
      <c r="O53" s="1102" t="s">
        <v>204</v>
      </c>
      <c r="P53" s="365" t="s">
        <v>199</v>
      </c>
      <c r="Q53" s="366" t="e">
        <f>IF('자기평가서(2단계-종합기술제안서 정량평가)'!#REF!="","",IF(AND(F15="특급",'자기평가서(2단계-종합기술제안서 정량평가)'!#REF!&gt;=60),15,IF(AND(F15="특급",'자기평가서(2단계-종합기술제안서 정량평가)'!#REF!&lt;60,'자기평가서(2단계-종합기술제안서 정량평가)'!#REF!&gt;=48),13.5,IF(AND(F15="특급",'자기평가서(2단계-종합기술제안서 정량평가)'!#REF!&lt;48,'자기평가서(2단계-종합기술제안서 정량평가)'!#REF!&gt;=36),12,IF(AND(F15="특급",'자기평가서(2단계-종합기술제안서 정량평가)'!#REF!&lt;36,'자기평가서(2단계-종합기술제안서 정량평가)'!#REF!&gt;=24),10.5,IF(AND(F15="특급",'자기평가서(2단계-종합기술제안서 정량평가)'!#REF!&lt;24),9))))))</f>
        <v>#REF!</v>
      </c>
      <c r="R53" s="285"/>
      <c r="S53" s="285"/>
      <c r="T53" s="285"/>
      <c r="U53" s="285"/>
      <c r="V53" s="285"/>
      <c r="W53" s="285"/>
      <c r="X53" s="285"/>
      <c r="Y53" s="285"/>
      <c r="Z53" s="285"/>
      <c r="AA53" s="285"/>
      <c r="AB53" s="285"/>
      <c r="AC53" s="285"/>
      <c r="AD53" s="285"/>
      <c r="AE53" s="285"/>
      <c r="AF53" s="285"/>
      <c r="AG53" s="285"/>
      <c r="AH53" s="285"/>
      <c r="AI53" s="285"/>
      <c r="AJ53" s="285"/>
      <c r="AK53" s="285"/>
      <c r="AL53" s="285"/>
    </row>
    <row r="54" spans="11:38" ht="17.25">
      <c r="K54" s="1165"/>
      <c r="L54" s="365" t="s">
        <v>201</v>
      </c>
      <c r="M54" s="366" t="e">
        <f>IF('자기평가서(2단계-종합기술제안서 정량평가)'!#REF!="","",IF(AND($F$15="고급이상",'자기평가서(2단계-종합기술제안서 정량평가)'!#REF!&gt;=8),9,IF(AND($F$15="고급이상",'자기평가서(2단계-종합기술제안서 정량평가)'!#REF!&lt;8,'자기평가서(2단계-종합기술제안서 정량평가)'!#REF!&gt;=7),8,IF(AND($F$15="고급이상",'자기평가서(2단계-종합기술제안서 정량평가)'!#REF!&lt;7),7,"FALSE"))))</f>
        <v>#REF!</v>
      </c>
      <c r="N54" s="338"/>
      <c r="O54" s="1165"/>
      <c r="P54" s="365" t="s">
        <v>201</v>
      </c>
      <c r="Q54" s="366" t="e">
        <f>IF('자기평가서(2단계-종합기술제안서 정량평가)'!#REF!="","",IF(AND(F15="고급이상",'자기평가서(2단계-종합기술제안서 정량평가)'!#REF!&gt;=48),15,IF(AND(F15="고급이상",'자기평가서(2단계-종합기술제안서 정량평가)'!#REF!&lt;48,'자기평가서(2단계-종합기술제안서 정량평가)'!#REF!&gt;=36),13.5,IF(AND(F15="고급이상",'자기평가서(2단계-종합기술제안서 정량평가)'!#REF!&lt;36,'자기평가서(2단계-종합기술제안서 정량평가)'!#REF!&gt;=24),12,IF(AND(F15="고급이상",'자기평가서(2단계-종합기술제안서 정량평가)'!#REF!&lt;24),10.5)))))</f>
        <v>#REF!</v>
      </c>
      <c r="R54" s="285"/>
      <c r="S54" s="285"/>
      <c r="T54" s="285"/>
      <c r="U54" s="285"/>
      <c r="V54" s="285"/>
      <c r="W54" s="285"/>
      <c r="X54" s="285"/>
      <c r="Y54" s="285"/>
      <c r="Z54" s="285"/>
      <c r="AA54" s="285"/>
      <c r="AB54" s="285"/>
      <c r="AC54" s="285"/>
      <c r="AD54" s="285"/>
      <c r="AE54" s="285"/>
      <c r="AF54" s="285"/>
      <c r="AG54" s="285"/>
      <c r="AH54" s="285"/>
      <c r="AI54" s="285"/>
      <c r="AJ54" s="285"/>
      <c r="AK54" s="285"/>
      <c r="AL54" s="285"/>
    </row>
    <row r="55" spans="11:38" ht="17.25">
      <c r="K55" s="1165"/>
      <c r="L55" s="365" t="s">
        <v>202</v>
      </c>
      <c r="M55" s="366" t="e">
        <f>IF('자기평가서(2단계-종합기술제안서 정량평가)'!#REF!="","",IF(AND($F$15="중급이상",'자기평가서(2단계-종합기술제안서 정량평가)'!#REF!&gt;=3),9,IF(AND($F$15="중급이상",'자기평가서(2단계-종합기술제안서 정량평가)'!#REF!&lt;3,'자기평가서(2단계-종합기술제안서 정량평가)'!#REF!&gt;=2),8,IF(AND($F$15="중급이상",'자기평가서(2단계-종합기술제안서 정량평가)'!#REF!&lt;2),7,"FALSE"))))</f>
        <v>#REF!</v>
      </c>
      <c r="N55" s="338"/>
      <c r="O55" s="1165"/>
      <c r="P55" s="365" t="s">
        <v>202</v>
      </c>
      <c r="Q55" s="366" t="e">
        <f>IF('자기평가서(2단계-종합기술제안서 정량평가)'!#REF!="","",IF(AND(F15="중급이상",'자기평가서(2단계-종합기술제안서 정량평가)'!#REF!&gt;=36),15,IF(AND(F15="중급이상",'자기평가서(2단계-종합기술제안서 정량평가)'!#REF!&lt;36),13.5)))</f>
        <v>#REF!</v>
      </c>
      <c r="R55" s="285"/>
      <c r="S55" s="285"/>
      <c r="T55" s="285"/>
      <c r="U55" s="285"/>
      <c r="V55" s="285"/>
      <c r="W55" s="285"/>
      <c r="X55" s="285"/>
      <c r="Y55" s="285"/>
      <c r="Z55" s="285"/>
      <c r="AA55" s="285"/>
      <c r="AB55" s="285"/>
      <c r="AC55" s="285"/>
      <c r="AD55" s="285"/>
      <c r="AE55" s="285"/>
      <c r="AF55" s="285"/>
      <c r="AG55" s="285"/>
      <c r="AH55" s="285"/>
      <c r="AI55" s="285"/>
      <c r="AJ55" s="285"/>
      <c r="AK55" s="285"/>
      <c r="AL55" s="285"/>
    </row>
    <row r="56" spans="11:38" ht="17.25">
      <c r="K56" s="1103"/>
      <c r="L56" s="365" t="s">
        <v>305</v>
      </c>
      <c r="M56" s="366" t="e">
        <f>IF('자기평가서(2단계-종합기술제안서 정량평가)'!#REF!="","",IF(AND($F$15="초급이상",'자기평가서(2단계-종합기술제안서 정량평가)'!#REF!&gt;=3),9,IF(AND($F$15="초급이상",'자기평가서(2단계-종합기술제안서 정량평가)'!#REF!&lt;3,'자기평가서(2단계-종합기술제안서 정량평가)'!#REF!&gt;=2),8,IF(AND($F$15="초급이상",'자기평가서(2단계-종합기술제안서 정량평가)'!#REF!&lt;2),7,"FALSE"))))</f>
        <v>#REF!</v>
      </c>
      <c r="N56" s="338"/>
      <c r="O56" s="1103"/>
      <c r="P56" s="365" t="s">
        <v>305</v>
      </c>
      <c r="Q56" s="366" t="e">
        <f>IF('자기평가서(2단계-종합기술제안서 정량평가)'!#REF!="","",IF(AND(F15="초급이상",'자기평가서(2단계-종합기술제안서 정량평가)'!#REF!&gt;=36),15,IF(AND(F15="초급이상",'자기평가서(2단계-종합기술제안서 정량평가)'!#REF!&lt;36),13.5)))</f>
        <v>#REF!</v>
      </c>
      <c r="R56" s="285"/>
      <c r="S56" s="285"/>
      <c r="T56" s="285"/>
      <c r="U56" s="285"/>
      <c r="V56" s="285"/>
      <c r="W56" s="285"/>
      <c r="X56" s="285"/>
      <c r="Y56" s="285"/>
      <c r="Z56" s="285"/>
      <c r="AA56" s="285"/>
      <c r="AB56" s="285"/>
      <c r="AC56" s="285"/>
      <c r="AD56" s="285"/>
      <c r="AE56" s="285"/>
      <c r="AF56" s="285"/>
      <c r="AG56" s="285"/>
      <c r="AH56" s="285"/>
      <c r="AI56" s="285"/>
      <c r="AJ56" s="285"/>
      <c r="AK56" s="285"/>
      <c r="AL56" s="285"/>
    </row>
    <row r="57" spans="11:38">
      <c r="K57" s="368"/>
      <c r="L57" s="369"/>
      <c r="M57" s="369"/>
      <c r="O57" s="368"/>
      <c r="P57" s="369"/>
      <c r="Q57" s="369"/>
      <c r="R57" s="285"/>
      <c r="S57" s="285"/>
      <c r="T57" s="285"/>
      <c r="U57" s="285"/>
      <c r="V57" s="285"/>
      <c r="W57" s="285"/>
      <c r="X57" s="285"/>
      <c r="Y57" s="285"/>
      <c r="Z57" s="285"/>
      <c r="AA57" s="285"/>
      <c r="AB57" s="285"/>
      <c r="AC57" s="285"/>
      <c r="AD57" s="285"/>
      <c r="AE57" s="285"/>
      <c r="AF57" s="285"/>
      <c r="AG57" s="285"/>
      <c r="AH57" s="285"/>
      <c r="AI57" s="285"/>
      <c r="AJ57" s="285"/>
      <c r="AK57" s="285"/>
      <c r="AL57" s="285"/>
    </row>
    <row r="58" spans="11:38" ht="17.25">
      <c r="K58" s="1102" t="s">
        <v>205</v>
      </c>
      <c r="L58" s="365" t="s">
        <v>199</v>
      </c>
      <c r="M58" s="366" t="e">
        <f>IF('자기평가서(2단계-종합기술제안서 정량평가)'!#REF!="","",IF(AND(#REF!="특급",'자기평가서(2단계-종합기술제안서 정량평가)'!#REF!&gt;=12),9,IF(AND(#REF!="특급",'자기평가서(2단계-종합기술제안서 정량평가)'!#REF!&lt;12,'자기평가서(2단계-종합기술제안서 정량평가)'!#REF!&gt;=10),8,IF(AND(#REF!="특급",'자기평가서(2단계-종합기술제안서 정량평가)'!#REF!&lt;10),7,"FALSE"))))</f>
        <v>#REF!</v>
      </c>
      <c r="N58" s="338"/>
      <c r="O58" s="1102" t="s">
        <v>205</v>
      </c>
      <c r="P58" s="365" t="s">
        <v>199</v>
      </c>
      <c r="Q58" s="366" t="e">
        <f>IF('자기평가서(2단계-종합기술제안서 정량평가)'!#REF!="","",IF(AND(#REF!="특급",'자기평가서(2단계-종합기술제안서 정량평가)'!#REF!&gt;=60),15,IF(AND(#REF!="특급",'자기평가서(2단계-종합기술제안서 정량평가)'!#REF!&lt;60,'자기평가서(2단계-종합기술제안서 정량평가)'!#REF!&gt;=48),13.5,IF(AND(#REF!="특급",'자기평가서(2단계-종합기술제안서 정량평가)'!#REF!&lt;48,'자기평가서(2단계-종합기술제안서 정량평가)'!#REF!&gt;=36),12,IF(AND(#REF!="특급",'자기평가서(2단계-종합기술제안서 정량평가)'!#REF!&lt;36,'자기평가서(2단계-종합기술제안서 정량평가)'!#REF!&gt;=24),10.5,IF(AND(#REF!="특급",'자기평가서(2단계-종합기술제안서 정량평가)'!#REF!&lt;24),9))))))</f>
        <v>#REF!</v>
      </c>
      <c r="R58" s="285"/>
      <c r="S58" s="285"/>
      <c r="T58" s="285"/>
      <c r="U58" s="285"/>
      <c r="V58" s="285"/>
      <c r="W58" s="285"/>
      <c r="X58" s="285"/>
      <c r="Y58" s="285"/>
      <c r="Z58" s="285"/>
      <c r="AA58" s="285"/>
      <c r="AB58" s="285"/>
      <c r="AC58" s="285"/>
      <c r="AD58" s="285"/>
      <c r="AE58" s="285"/>
      <c r="AF58" s="285"/>
      <c r="AG58" s="285"/>
      <c r="AH58" s="285"/>
      <c r="AI58" s="285"/>
      <c r="AJ58" s="285"/>
      <c r="AK58" s="285"/>
      <c r="AL58" s="285"/>
    </row>
    <row r="59" spans="11:38" ht="17.25">
      <c r="K59" s="1165"/>
      <c r="L59" s="365" t="s">
        <v>201</v>
      </c>
      <c r="M59" s="366" t="e">
        <f>IF('자기평가서(2단계-종합기술제안서 정량평가)'!#REF!="","",IF(AND(#REF!="고급이상",'자기평가서(2단계-종합기술제안서 정량평가)'!#REF!&gt;=8),9,IF(AND(#REF!="고급이상",'자기평가서(2단계-종합기술제안서 정량평가)'!#REF!&lt;8,'자기평가서(2단계-종합기술제안서 정량평가)'!#REF!&gt;=7),8,IF(AND(#REF!="고급이상",'자기평가서(2단계-종합기술제안서 정량평가)'!#REF!&lt;7),7,"FALSE"))))</f>
        <v>#REF!</v>
      </c>
      <c r="N59" s="338"/>
      <c r="O59" s="1165"/>
      <c r="P59" s="365" t="s">
        <v>201</v>
      </c>
      <c r="Q59" s="366" t="e">
        <f>IF('자기평가서(2단계-종합기술제안서 정량평가)'!#REF!="","",IF(AND(#REF!="고급이상",'자기평가서(2단계-종합기술제안서 정량평가)'!#REF!&gt;=48),15,IF(AND(#REF!="고급이상",'자기평가서(2단계-종합기술제안서 정량평가)'!#REF!&lt;48,'자기평가서(2단계-종합기술제안서 정량평가)'!#REF!&gt;=36),13.5,IF(AND(#REF!="고급이상",'자기평가서(2단계-종합기술제안서 정량평가)'!#REF!&lt;36,'자기평가서(2단계-종합기술제안서 정량평가)'!#REF!&gt;=24),12,IF(AND(#REF!="고급이상",'자기평가서(2단계-종합기술제안서 정량평가)'!#REF!&lt;24),10.5)))))</f>
        <v>#REF!</v>
      </c>
      <c r="R59" s="285"/>
      <c r="S59" s="285"/>
      <c r="T59" s="285"/>
      <c r="U59" s="285"/>
      <c r="V59" s="285"/>
      <c r="W59" s="285"/>
      <c r="X59" s="285"/>
      <c r="Y59" s="285"/>
      <c r="Z59" s="285"/>
      <c r="AA59" s="285"/>
      <c r="AB59" s="285"/>
      <c r="AC59" s="285"/>
      <c r="AD59" s="285"/>
      <c r="AE59" s="285"/>
      <c r="AF59" s="285"/>
      <c r="AG59" s="285"/>
      <c r="AH59" s="285"/>
      <c r="AI59" s="285"/>
      <c r="AJ59" s="285"/>
      <c r="AK59" s="285"/>
      <c r="AL59" s="285"/>
    </row>
    <row r="60" spans="11:38" ht="17.25">
      <c r="K60" s="1165"/>
      <c r="L60" s="365" t="s">
        <v>202</v>
      </c>
      <c r="M60" s="366" t="e">
        <f>IF('자기평가서(2단계-종합기술제안서 정량평가)'!#REF!="","",IF(AND(#REF!="중급이상",'자기평가서(2단계-종합기술제안서 정량평가)'!#REF!&gt;=3),9,IF(AND(#REF!="중급이상",'자기평가서(2단계-종합기술제안서 정량평가)'!#REF!&lt;3,'자기평가서(2단계-종합기술제안서 정량평가)'!#REF!&gt;=2),8,IF(AND(#REF!="중급이상",'자기평가서(2단계-종합기술제안서 정량평가)'!#REF!&lt;2),7,"FALSE"))))</f>
        <v>#REF!</v>
      </c>
      <c r="N60" s="338"/>
      <c r="O60" s="1165"/>
      <c r="P60" s="365" t="s">
        <v>202</v>
      </c>
      <c r="Q60" s="366" t="e">
        <f>IF('자기평가서(2단계-종합기술제안서 정량평가)'!#REF!="","",IF(AND(#REF!="중급이상",'자기평가서(2단계-종합기술제안서 정량평가)'!#REF!&gt;=36),15,IF(AND(#REF!="중급이상",'자기평가서(2단계-종합기술제안서 정량평가)'!#REF!&lt;36),13.5)))</f>
        <v>#REF!</v>
      </c>
      <c r="R60" s="285"/>
      <c r="S60" s="285"/>
      <c r="T60" s="285"/>
      <c r="U60" s="285"/>
      <c r="V60" s="285"/>
      <c r="W60" s="285"/>
      <c r="X60" s="285"/>
      <c r="Y60" s="285"/>
      <c r="Z60" s="285"/>
      <c r="AA60" s="285"/>
      <c r="AB60" s="285"/>
      <c r="AC60" s="285"/>
      <c r="AD60" s="285"/>
      <c r="AE60" s="285"/>
      <c r="AF60" s="285"/>
      <c r="AG60" s="285"/>
      <c r="AH60" s="285"/>
      <c r="AI60" s="285"/>
      <c r="AJ60" s="285"/>
      <c r="AK60" s="285"/>
      <c r="AL60" s="285"/>
    </row>
    <row r="61" spans="11:38" ht="17.25">
      <c r="K61" s="1103"/>
      <c r="L61" s="365" t="s">
        <v>305</v>
      </c>
      <c r="M61" s="366" t="e">
        <f>IF('자기평가서(2단계-종합기술제안서 정량평가)'!#REF!="","",IF(AND(#REF!="초급이상",'자기평가서(2단계-종합기술제안서 정량평가)'!#REF!&gt;=3),9,IF(AND(#REF!="초급이상",'자기평가서(2단계-종합기술제안서 정량평가)'!#REF!&lt;3,'자기평가서(2단계-종합기술제안서 정량평가)'!#REF!&gt;=2),8,IF(AND(#REF!="초급이상",'자기평가서(2단계-종합기술제안서 정량평가)'!#REF!&lt;2),7,"FALSE"))))</f>
        <v>#REF!</v>
      </c>
      <c r="N61" s="338"/>
      <c r="O61" s="1103"/>
      <c r="P61" s="365" t="s">
        <v>305</v>
      </c>
      <c r="Q61" s="366" t="e">
        <f>IF('자기평가서(2단계-종합기술제안서 정량평가)'!#REF!="","",IF(AND(#REF!="초급이상",'자기평가서(2단계-종합기술제안서 정량평가)'!#REF!&gt;=36),15,IF(AND(#REF!="초급이상",'자기평가서(2단계-종합기술제안서 정량평가)'!#REF!&lt;36),13.5)))</f>
        <v>#REF!</v>
      </c>
      <c r="R61" s="285"/>
      <c r="S61" s="285"/>
      <c r="T61" s="285"/>
      <c r="U61" s="285"/>
      <c r="V61" s="285"/>
      <c r="W61" s="285"/>
      <c r="X61" s="285"/>
      <c r="Y61" s="285"/>
      <c r="Z61" s="285"/>
      <c r="AA61" s="285"/>
      <c r="AB61" s="285"/>
      <c r="AC61" s="285"/>
      <c r="AD61" s="285"/>
      <c r="AE61" s="285"/>
      <c r="AF61" s="285"/>
      <c r="AG61" s="285"/>
      <c r="AH61" s="285"/>
      <c r="AI61" s="285"/>
      <c r="AJ61" s="285"/>
      <c r="AK61" s="285"/>
      <c r="AL61" s="285"/>
    </row>
    <row r="62" spans="11:38">
      <c r="K62" s="368"/>
      <c r="L62" s="369"/>
      <c r="M62" s="369"/>
      <c r="O62" s="368"/>
      <c r="P62" s="369"/>
      <c r="Q62" s="316"/>
      <c r="R62" s="285"/>
      <c r="S62" s="285"/>
      <c r="T62" s="285"/>
      <c r="U62" s="285"/>
      <c r="V62" s="285"/>
      <c r="W62" s="285"/>
      <c r="X62" s="285"/>
      <c r="Y62" s="285"/>
      <c r="Z62" s="285"/>
      <c r="AA62" s="285"/>
      <c r="AB62" s="285"/>
      <c r="AC62" s="285"/>
      <c r="AD62" s="285"/>
      <c r="AE62" s="285"/>
      <c r="AF62" s="285"/>
      <c r="AG62" s="285"/>
      <c r="AH62" s="285"/>
      <c r="AI62" s="285"/>
      <c r="AJ62" s="285"/>
      <c r="AK62" s="285"/>
      <c r="AL62" s="285"/>
    </row>
    <row r="63" spans="11:38" ht="17.25">
      <c r="K63" s="1102" t="s">
        <v>493</v>
      </c>
      <c r="L63" s="365" t="s">
        <v>189</v>
      </c>
      <c r="M63" s="366" t="str">
        <f>IF('자기평가서(2단계-종합기술제안서 정량평가)'!$F$23="","",IF(AND($F$30="특급",'자기평가서(2단계-종합기술제안서 정량평가)'!$F$23&gt;=12),9,IF(AND($F$30="특급",'자기평가서(2단계-종합기술제안서 정량평가)'!$F$23&lt;12,'자기평가서(2단계-종합기술제안서 정량평가)'!$F$23&gt;=10),8,IF(AND($F$30="특급",'자기평가서(2단계-종합기술제안서 정량평가)'!$F$23&lt;10),7,"FALSE"))))</f>
        <v>FALSE</v>
      </c>
      <c r="O63" s="1102" t="s">
        <v>58</v>
      </c>
      <c r="P63" s="365" t="s">
        <v>189</v>
      </c>
      <c r="Q63" s="366" t="b">
        <f>IF('자기평가서(2단계-종합기술제안서 정량평가)'!F26="","",IF(AND(F32="특급",'자기평가서(2단계-종합기술제안서 정량평가)'!F26&gt;=60),15,IF(AND(F32="특급",'자기평가서(2단계-종합기술제안서 정량평가)'!F26&lt;60,'자기평가서(2단계-종합기술제안서 정량평가)'!F26&gt;=48),13.5,IF(AND(F32="특급",'자기평가서(2단계-종합기술제안서 정량평가)'!F26&lt;48,'자기평가서(2단계-종합기술제안서 정량평가)'!F26&gt;=36),12,IF(AND(F32="특급",'자기평가서(2단계-종합기술제안서 정량평가)'!F26&lt;36,'자기평가서(2단계-종합기술제안서 정량평가)'!F26&gt;=24),10.5,IF(AND(F32="특급",'자기평가서(2단계-종합기술제안서 정량평가)'!F26&lt;24),9))))))</f>
        <v>0</v>
      </c>
      <c r="R63" s="285"/>
      <c r="S63" s="285"/>
      <c r="T63" s="285"/>
      <c r="U63" s="285"/>
      <c r="V63" s="285"/>
      <c r="W63" s="285"/>
      <c r="X63" s="285"/>
      <c r="Y63" s="285"/>
      <c r="Z63" s="285"/>
      <c r="AA63" s="285"/>
      <c r="AB63" s="285"/>
      <c r="AC63" s="285"/>
      <c r="AD63" s="285"/>
      <c r="AE63" s="285"/>
      <c r="AF63" s="285"/>
      <c r="AG63" s="285"/>
      <c r="AH63" s="285"/>
      <c r="AI63" s="285"/>
      <c r="AJ63" s="285"/>
      <c r="AK63" s="285"/>
      <c r="AL63" s="285"/>
    </row>
    <row r="64" spans="11:38" ht="17.25">
      <c r="K64" s="1165"/>
      <c r="L64" s="365" t="s">
        <v>201</v>
      </c>
      <c r="M64" s="366" t="str">
        <f>IF('자기평가서(2단계-종합기술제안서 정량평가)'!$F$23="","",IF(AND($F$30="고급이상",'자기평가서(2단계-종합기술제안서 정량평가)'!$F$23&gt;=8),9,IF(AND($F$30="고급이상",'자기평가서(2단계-종합기술제안서 정량평가)'!$F$23&lt;8,'자기평가서(2단계-종합기술제안서 정량평가)'!$F$23&gt;=7),8,IF(AND($F$30="고급이상",'자기평가서(2단계-종합기술제안서 정량평가)'!$F$23&lt;7),7,"FALSE"))))</f>
        <v>FALSE</v>
      </c>
      <c r="O64" s="1165"/>
      <c r="P64" s="365" t="s">
        <v>201</v>
      </c>
      <c r="Q64" s="366">
        <f>IF('자기평가서(2단계-종합기술제안서 정량평가)'!F26="","",IF(AND(F28="고급이상",'자기평가서(2단계-종합기술제안서 정량평가)'!F26&gt;=48),15,IF(AND(F28="고급이상",'자기평가서(2단계-종합기술제안서 정량평가)'!F26&lt;48,'자기평가서(2단계-종합기술제안서 정량평가)'!F26&gt;=36),13.5,IF(AND(F28="고급이상",'자기평가서(2단계-종합기술제안서 정량평가)'!F26&lt;36,'자기평가서(2단계-종합기술제안서 정량평가)'!F26&gt;=24),12,IF(AND(F28="고급이상",'자기평가서(2단계-종합기술제안서 정량평가)'!F26&lt;24),10.5)))))</f>
        <v>10.5</v>
      </c>
      <c r="R64" s="285"/>
      <c r="S64" s="285"/>
      <c r="T64" s="285"/>
      <c r="U64" s="285"/>
      <c r="V64" s="285"/>
      <c r="W64" s="285"/>
      <c r="X64" s="285"/>
      <c r="Y64" s="285"/>
      <c r="Z64" s="285"/>
      <c r="AA64" s="285"/>
      <c r="AB64" s="285"/>
      <c r="AC64" s="285"/>
      <c r="AD64" s="285"/>
      <c r="AE64" s="285"/>
      <c r="AF64" s="285"/>
      <c r="AG64" s="285"/>
      <c r="AH64" s="285"/>
      <c r="AI64" s="285"/>
      <c r="AJ64" s="285"/>
      <c r="AK64" s="285"/>
      <c r="AL64" s="285"/>
    </row>
    <row r="65" spans="11:38" ht="17.25">
      <c r="K65" s="1165"/>
      <c r="L65" s="365" t="s">
        <v>202</v>
      </c>
      <c r="M65" s="366" t="str">
        <f>IF('자기평가서(2단계-종합기술제안서 정량평가)'!$F$23="","",IF(AND($F$28="중급이상",'자기평가서(2단계-종합기술제안서 정량평가)'!$F$23&gt;=3),9,IF(AND($F$28="중급이상",'자기평가서(2단계-종합기술제안서 정량평가)'!$F$23&lt;3,'자기평가서(2단계-종합기술제안서 정량평가)'!$F$23&gt;=2),8,IF(AND($F$28="중급이상",'자기평가서(2단계-종합기술제안서 정량평가)'!$F$23&lt;2),7,"FALSE"))))</f>
        <v>FALSE</v>
      </c>
      <c r="O65" s="1165"/>
      <c r="P65" s="365" t="s">
        <v>202</v>
      </c>
      <c r="Q65" s="366" t="b">
        <f>IF('자기평가서(2단계-종합기술제안서 정량평가)'!F26="","",IF(AND(F28="중급이상",'자기평가서(2단계-종합기술제안서 정량평가)'!F26&gt;=36),15,IF(AND(F28="중급이상",'자기평가서(2단계-종합기술제안서 정량평가)'!F26&lt;36),13.5)))</f>
        <v>0</v>
      </c>
      <c r="R65" s="285"/>
      <c r="S65" s="285"/>
      <c r="T65" s="285"/>
      <c r="U65" s="285"/>
      <c r="V65" s="285"/>
      <c r="W65" s="285"/>
      <c r="X65" s="285"/>
      <c r="Y65" s="285"/>
      <c r="Z65" s="285"/>
      <c r="AA65" s="285"/>
      <c r="AB65" s="285"/>
      <c r="AC65" s="285"/>
      <c r="AD65" s="285"/>
      <c r="AE65" s="285"/>
      <c r="AF65" s="285"/>
      <c r="AG65" s="285"/>
      <c r="AH65" s="285"/>
      <c r="AI65" s="285"/>
      <c r="AJ65" s="285"/>
      <c r="AK65" s="285"/>
      <c r="AL65" s="285"/>
    </row>
    <row r="66" spans="11:38" ht="17.25">
      <c r="K66" s="1103"/>
      <c r="L66" s="365" t="s">
        <v>305</v>
      </c>
      <c r="M66" s="366">
        <f>IF('자기평가서(2단계-종합기술제안서 정량평가)'!$F$23="","",IF(AND($F$30="초급이상",'자기평가서(2단계-종합기술제안서 정량평가)'!$F$23&gt;=3),9,IF(AND($F$30="초급이상",'자기평가서(2단계-종합기술제안서 정량평가)'!$F$23&lt;3,'자기평가서(2단계-종합기술제안서 정량평가)'!$F$23&gt;=2),8,IF(AND($F$30="초급이상",'자기평가서(2단계-종합기술제안서 정량평가)'!$F$23&lt;2),7,"FALSE"))))</f>
        <v>9</v>
      </c>
      <c r="O66" s="1103"/>
      <c r="P66" s="365" t="s">
        <v>305</v>
      </c>
      <c r="Q66" s="366">
        <f>IF('자기평가서(2단계-종합기술제안서 정량평가)'!F26="","",IF(AND(F30="초급이상",'자기평가서(2단계-종합기술제안서 정량평가)'!F26&gt;=24),15,IF(AND(F30="초급이상",'자기평가서(2단계-종합기술제안서 정량평가)'!F26&lt;24),13.5)))</f>
        <v>13.5</v>
      </c>
      <c r="R66" s="285"/>
      <c r="S66" s="285"/>
      <c r="T66" s="285"/>
      <c r="U66" s="285"/>
      <c r="V66" s="285"/>
      <c r="W66" s="285"/>
      <c r="X66" s="285"/>
      <c r="Y66" s="285"/>
      <c r="Z66" s="285"/>
      <c r="AA66" s="285"/>
      <c r="AB66" s="285"/>
      <c r="AC66" s="285"/>
      <c r="AD66" s="285"/>
      <c r="AE66" s="285"/>
      <c r="AF66" s="285"/>
      <c r="AG66" s="285"/>
      <c r="AH66" s="285"/>
      <c r="AI66" s="285"/>
      <c r="AJ66" s="285"/>
      <c r="AK66" s="285"/>
      <c r="AL66" s="285"/>
    </row>
    <row r="67" spans="11:38">
      <c r="K67" s="368"/>
      <c r="L67" s="369"/>
      <c r="M67" s="369"/>
      <c r="O67" s="368"/>
      <c r="P67" s="369"/>
      <c r="Q67" s="316"/>
      <c r="R67" s="285"/>
      <c r="S67" s="285"/>
      <c r="T67" s="285"/>
      <c r="U67" s="285"/>
      <c r="V67" s="285"/>
      <c r="W67" s="285"/>
      <c r="X67" s="285"/>
      <c r="Y67" s="285"/>
      <c r="Z67" s="285"/>
      <c r="AA67" s="285"/>
      <c r="AB67" s="285"/>
      <c r="AC67" s="285"/>
      <c r="AD67" s="285"/>
      <c r="AE67" s="285"/>
      <c r="AF67" s="285"/>
      <c r="AG67" s="285"/>
      <c r="AH67" s="285"/>
      <c r="AI67" s="285"/>
      <c r="AJ67" s="285"/>
      <c r="AK67" s="285"/>
      <c r="AL67" s="285"/>
    </row>
    <row r="68" spans="11:38">
      <c r="K68"/>
      <c r="L68"/>
      <c r="M68"/>
      <c r="R68" s="285"/>
      <c r="S68" s="285"/>
      <c r="T68" s="285"/>
      <c r="U68" s="285"/>
      <c r="V68" s="285"/>
      <c r="W68" s="285"/>
      <c r="X68" s="285"/>
      <c r="Y68" s="285"/>
      <c r="Z68" s="285"/>
      <c r="AA68" s="285"/>
      <c r="AB68" s="285"/>
      <c r="AC68" s="285"/>
      <c r="AD68" s="285"/>
      <c r="AE68" s="285"/>
      <c r="AF68" s="285"/>
      <c r="AG68" s="285"/>
      <c r="AH68" s="285"/>
      <c r="AI68" s="285"/>
      <c r="AJ68" s="285"/>
      <c r="AK68" s="285"/>
      <c r="AL68" s="285"/>
    </row>
    <row r="69" spans="11:38">
      <c r="K69"/>
      <c r="L69"/>
      <c r="M69"/>
      <c r="R69" s="285"/>
      <c r="S69" s="285"/>
      <c r="T69" s="285"/>
      <c r="U69" s="285"/>
      <c r="V69" s="285"/>
      <c r="W69" s="285"/>
      <c r="X69" s="285"/>
      <c r="Y69" s="285"/>
      <c r="Z69" s="285"/>
      <c r="AA69" s="285"/>
      <c r="AB69" s="285"/>
      <c r="AC69" s="285"/>
      <c r="AD69" s="285"/>
      <c r="AE69" s="285"/>
      <c r="AF69" s="285"/>
      <c r="AG69" s="285"/>
      <c r="AH69" s="285"/>
      <c r="AI69" s="285"/>
      <c r="AJ69" s="285"/>
      <c r="AK69" s="285"/>
      <c r="AL69" s="285"/>
    </row>
    <row r="70" spans="11:38">
      <c r="K70"/>
      <c r="L70"/>
      <c r="M70"/>
      <c r="R70" s="285"/>
      <c r="S70" s="285"/>
      <c r="T70" s="285"/>
      <c r="U70" s="285"/>
      <c r="V70" s="285"/>
      <c r="W70" s="285"/>
      <c r="X70" s="285"/>
      <c r="Y70" s="285"/>
      <c r="Z70" s="285"/>
      <c r="AA70" s="285"/>
      <c r="AB70" s="285"/>
      <c r="AC70" s="285"/>
      <c r="AD70" s="285"/>
      <c r="AE70" s="285"/>
      <c r="AF70" s="285"/>
      <c r="AG70" s="285"/>
      <c r="AH70" s="285"/>
      <c r="AI70" s="285"/>
      <c r="AJ70" s="285"/>
      <c r="AK70" s="285"/>
      <c r="AL70" s="285"/>
    </row>
    <row r="71" spans="11:38">
      <c r="K71"/>
      <c r="L71"/>
      <c r="M71"/>
      <c r="R71" s="285"/>
      <c r="S71" s="285"/>
      <c r="T71" s="285"/>
      <c r="U71" s="285"/>
      <c r="V71" s="285"/>
      <c r="W71" s="285"/>
      <c r="X71" s="285"/>
      <c r="Y71" s="285"/>
      <c r="Z71" s="285"/>
      <c r="AA71" s="285"/>
      <c r="AB71" s="285"/>
      <c r="AC71" s="285"/>
      <c r="AD71" s="285"/>
      <c r="AE71" s="285"/>
      <c r="AF71" s="285"/>
      <c r="AG71" s="285"/>
      <c r="AH71" s="285"/>
      <c r="AI71" s="285"/>
      <c r="AJ71" s="285"/>
      <c r="AK71" s="285"/>
      <c r="AL71" s="285"/>
    </row>
    <row r="72" spans="11:38">
      <c r="K72"/>
      <c r="L72"/>
      <c r="M72"/>
      <c r="R72" s="285"/>
      <c r="S72" s="285"/>
      <c r="T72" s="285"/>
      <c r="U72" s="285"/>
      <c r="V72" s="285"/>
      <c r="W72" s="285"/>
      <c r="X72" s="285"/>
      <c r="Y72" s="285"/>
      <c r="Z72" s="285"/>
      <c r="AA72" s="285"/>
      <c r="AB72" s="285"/>
      <c r="AC72" s="285"/>
      <c r="AD72" s="285"/>
      <c r="AE72" s="285"/>
      <c r="AF72" s="285"/>
      <c r="AG72" s="285"/>
      <c r="AH72" s="285"/>
      <c r="AI72" s="285"/>
      <c r="AJ72" s="285"/>
      <c r="AK72" s="285"/>
      <c r="AL72" s="285"/>
    </row>
    <row r="73" spans="11:38">
      <c r="K73"/>
      <c r="L73"/>
      <c r="M73"/>
      <c r="R73" s="285"/>
      <c r="S73" s="285"/>
      <c r="T73" s="285"/>
      <c r="U73" s="285"/>
      <c r="V73" s="285"/>
      <c r="W73" s="285"/>
      <c r="X73" s="285"/>
      <c r="Y73" s="285"/>
      <c r="Z73" s="285"/>
      <c r="AA73" s="285"/>
      <c r="AB73" s="285"/>
      <c r="AC73" s="285"/>
      <c r="AD73" s="285"/>
      <c r="AE73" s="285"/>
      <c r="AF73" s="285"/>
      <c r="AG73" s="285"/>
      <c r="AH73" s="285"/>
      <c r="AI73" s="285"/>
      <c r="AJ73" s="285"/>
      <c r="AK73" s="285"/>
      <c r="AL73" s="285"/>
    </row>
    <row r="74" spans="11:38">
      <c r="K74" s="361" t="s">
        <v>197</v>
      </c>
      <c r="R74" s="285"/>
      <c r="S74" s="285"/>
      <c r="T74" s="285"/>
      <c r="U74" s="285"/>
      <c r="V74" s="285"/>
      <c r="W74" s="285"/>
      <c r="X74" s="285"/>
      <c r="Y74" s="285"/>
      <c r="Z74" s="285"/>
      <c r="AA74" s="285"/>
      <c r="AB74" s="285"/>
      <c r="AC74" s="285"/>
      <c r="AD74" s="285"/>
      <c r="AE74" s="285"/>
      <c r="AF74" s="285"/>
      <c r="AG74" s="285"/>
      <c r="AH74" s="285"/>
      <c r="AI74" s="285"/>
      <c r="AJ74" s="285"/>
      <c r="AK74" s="285"/>
      <c r="AL74" s="285"/>
    </row>
    <row r="75" spans="11:38">
      <c r="K75" s="365" t="s">
        <v>189</v>
      </c>
      <c r="R75" s="285"/>
      <c r="S75" s="285"/>
      <c r="T75" s="285"/>
      <c r="U75" s="285"/>
      <c r="V75" s="285"/>
      <c r="W75" s="285"/>
      <c r="X75" s="285"/>
      <c r="Y75" s="285"/>
      <c r="Z75" s="285"/>
      <c r="AA75" s="285"/>
      <c r="AB75" s="285"/>
      <c r="AC75" s="285"/>
      <c r="AD75" s="285"/>
      <c r="AE75" s="285"/>
      <c r="AF75" s="285"/>
      <c r="AG75" s="285"/>
      <c r="AH75" s="285"/>
      <c r="AI75" s="285"/>
      <c r="AJ75" s="285"/>
      <c r="AK75" s="285"/>
      <c r="AL75" s="285"/>
    </row>
    <row r="76" spans="11:38">
      <c r="K76" s="365" t="s">
        <v>201</v>
      </c>
      <c r="R76" s="285"/>
      <c r="S76" s="285"/>
      <c r="T76" s="285"/>
      <c r="U76" s="285"/>
      <c r="V76" s="285"/>
      <c r="W76" s="285"/>
      <c r="X76" s="285"/>
      <c r="Y76" s="285"/>
      <c r="Z76" s="285"/>
      <c r="AA76" s="285"/>
      <c r="AB76" s="285"/>
      <c r="AC76" s="285"/>
      <c r="AD76" s="285"/>
      <c r="AE76" s="285"/>
      <c r="AF76" s="285"/>
      <c r="AG76" s="285"/>
      <c r="AH76" s="285"/>
      <c r="AI76" s="285"/>
      <c r="AJ76" s="285"/>
      <c r="AK76" s="285"/>
      <c r="AL76" s="285"/>
    </row>
    <row r="77" spans="11:38">
      <c r="K77" s="365" t="s">
        <v>299</v>
      </c>
      <c r="R77" s="285"/>
      <c r="S77" s="285"/>
      <c r="T77" s="285"/>
      <c r="U77" s="285"/>
      <c r="V77" s="285"/>
      <c r="W77" s="285"/>
      <c r="X77" s="285"/>
      <c r="Y77" s="285"/>
      <c r="Z77" s="285"/>
      <c r="AA77" s="285"/>
      <c r="AB77" s="285"/>
      <c r="AC77" s="285"/>
      <c r="AD77" s="285"/>
      <c r="AE77" s="285"/>
      <c r="AF77" s="285"/>
      <c r="AG77" s="285"/>
      <c r="AH77" s="285"/>
      <c r="AI77" s="285"/>
      <c r="AJ77" s="285"/>
      <c r="AK77" s="285"/>
      <c r="AL77" s="285"/>
    </row>
    <row r="78" spans="11:38">
      <c r="K78" s="365" t="s">
        <v>300</v>
      </c>
      <c r="R78" s="285"/>
      <c r="S78" s="285"/>
      <c r="T78" s="285"/>
      <c r="U78" s="285"/>
      <c r="V78" s="285"/>
      <c r="W78" s="285"/>
      <c r="X78" s="285"/>
      <c r="Y78" s="285"/>
      <c r="Z78" s="285"/>
      <c r="AA78" s="285"/>
      <c r="AB78" s="285"/>
      <c r="AC78" s="285"/>
      <c r="AD78" s="285"/>
      <c r="AE78" s="285"/>
      <c r="AF78" s="285"/>
      <c r="AG78" s="285"/>
      <c r="AH78" s="285"/>
      <c r="AI78" s="285"/>
      <c r="AJ78" s="285"/>
      <c r="AK78" s="285"/>
      <c r="AL78" s="285"/>
    </row>
    <row r="79" spans="11:38">
      <c r="K79" s="365" t="s">
        <v>301</v>
      </c>
      <c r="R79" s="285"/>
      <c r="S79" s="285"/>
      <c r="T79" s="285"/>
      <c r="U79" s="285"/>
      <c r="V79" s="285"/>
      <c r="W79" s="285"/>
      <c r="X79" s="285"/>
      <c r="Y79" s="285"/>
      <c r="Z79" s="285"/>
      <c r="AA79" s="285"/>
      <c r="AB79" s="285"/>
      <c r="AC79" s="285"/>
      <c r="AD79" s="285"/>
      <c r="AE79" s="285"/>
      <c r="AF79" s="285"/>
      <c r="AG79" s="285"/>
      <c r="AH79" s="285"/>
      <c r="AI79" s="285"/>
      <c r="AJ79" s="285"/>
      <c r="AK79" s="285"/>
      <c r="AL79" s="285"/>
    </row>
    <row r="80" spans="11:38">
      <c r="K80" s="361"/>
      <c r="R80" s="285"/>
      <c r="S80" s="285"/>
      <c r="T80" s="285"/>
      <c r="U80" s="285"/>
      <c r="V80" s="285"/>
      <c r="W80" s="285"/>
      <c r="X80" s="285"/>
      <c r="Y80" s="285"/>
      <c r="Z80" s="285"/>
      <c r="AA80" s="285"/>
      <c r="AB80" s="285"/>
      <c r="AC80" s="285"/>
      <c r="AD80" s="285"/>
      <c r="AE80" s="285"/>
      <c r="AF80" s="285"/>
      <c r="AG80" s="285"/>
      <c r="AH80" s="285"/>
      <c r="AI80" s="285"/>
      <c r="AJ80" s="285"/>
      <c r="AK80" s="285"/>
      <c r="AL80" s="285"/>
    </row>
    <row r="81" spans="11:38">
      <c r="K81" s="365"/>
      <c r="R81" s="285"/>
      <c r="S81" s="285"/>
      <c r="T81" s="285"/>
      <c r="U81" s="285"/>
      <c r="V81" s="285"/>
      <c r="W81" s="285"/>
      <c r="X81" s="285"/>
      <c r="Y81" s="285"/>
      <c r="Z81" s="285"/>
      <c r="AA81" s="285"/>
      <c r="AB81" s="285"/>
      <c r="AC81" s="285"/>
      <c r="AD81" s="285"/>
      <c r="AE81" s="285"/>
      <c r="AF81" s="285"/>
      <c r="AG81" s="285"/>
      <c r="AH81" s="285"/>
      <c r="AI81" s="285"/>
      <c r="AJ81" s="285"/>
      <c r="AK81" s="285"/>
      <c r="AL81" s="285"/>
    </row>
    <row r="82" spans="11:38">
      <c r="K82" s="365"/>
      <c r="R82" s="285"/>
      <c r="S82" s="285"/>
      <c r="T82" s="285"/>
      <c r="U82" s="285"/>
      <c r="V82" s="285"/>
      <c r="W82" s="285"/>
      <c r="X82" s="285"/>
      <c r="Y82" s="285"/>
      <c r="Z82" s="285"/>
      <c r="AA82" s="285"/>
      <c r="AB82" s="285"/>
      <c r="AC82" s="285"/>
      <c r="AD82" s="285"/>
      <c r="AE82" s="285"/>
      <c r="AF82" s="285"/>
      <c r="AG82" s="285"/>
      <c r="AH82" s="285"/>
      <c r="AI82" s="285"/>
      <c r="AJ82" s="285"/>
      <c r="AK82" s="285"/>
      <c r="AL82" s="285"/>
    </row>
    <row r="83" spans="11:38">
      <c r="K83" s="365"/>
      <c r="Q83" s="285"/>
      <c r="R83" s="285"/>
      <c r="S83" s="285"/>
      <c r="T83" s="285"/>
      <c r="U83" s="285"/>
      <c r="V83" s="285"/>
      <c r="W83" s="285"/>
      <c r="X83" s="285"/>
      <c r="Y83" s="285"/>
      <c r="Z83" s="285"/>
      <c r="AA83" s="285"/>
      <c r="AB83" s="285"/>
      <c r="AC83" s="285"/>
      <c r="AD83" s="285"/>
      <c r="AE83" s="285"/>
      <c r="AF83" s="285"/>
      <c r="AG83" s="285"/>
      <c r="AH83" s="285"/>
      <c r="AI83" s="285"/>
      <c r="AJ83" s="285"/>
      <c r="AK83" s="285"/>
      <c r="AL83" s="285"/>
    </row>
    <row r="84" spans="11:38">
      <c r="K84" s="365"/>
      <c r="Q84" s="285"/>
      <c r="R84" s="285"/>
      <c r="S84" s="285"/>
      <c r="T84" s="285"/>
      <c r="U84" s="285"/>
      <c r="V84" s="285"/>
      <c r="W84" s="285"/>
      <c r="X84" s="285"/>
      <c r="Y84" s="285"/>
      <c r="Z84" s="285"/>
      <c r="AA84" s="285"/>
      <c r="AB84" s="285"/>
      <c r="AC84" s="285"/>
      <c r="AD84" s="285"/>
      <c r="AE84" s="285"/>
      <c r="AF84" s="285"/>
      <c r="AG84" s="285"/>
      <c r="AH84" s="285"/>
      <c r="AI84" s="285"/>
      <c r="AJ84" s="285"/>
      <c r="AK84" s="285"/>
      <c r="AL84" s="285"/>
    </row>
    <row r="85" spans="11:38">
      <c r="K85" s="365"/>
      <c r="Q85" s="285"/>
      <c r="R85" s="285"/>
      <c r="S85" s="285"/>
      <c r="T85" s="285"/>
      <c r="U85" s="285"/>
      <c r="V85" s="285"/>
      <c r="W85" s="285"/>
      <c r="X85" s="285"/>
      <c r="Y85" s="285"/>
      <c r="Z85" s="285"/>
      <c r="AA85" s="285"/>
      <c r="AB85" s="285"/>
      <c r="AC85" s="285"/>
      <c r="AD85" s="285"/>
      <c r="AE85" s="285"/>
      <c r="AF85" s="285"/>
      <c r="AG85" s="285"/>
      <c r="AH85" s="285"/>
      <c r="AI85" s="285"/>
      <c r="AJ85" s="285"/>
      <c r="AK85" s="285"/>
      <c r="AL85" s="285"/>
    </row>
    <row r="86" spans="11:38">
      <c r="Q86" s="285"/>
      <c r="R86" s="285"/>
      <c r="S86" s="285"/>
      <c r="T86" s="285"/>
      <c r="U86" s="285"/>
      <c r="V86" s="285"/>
      <c r="W86" s="285"/>
      <c r="X86" s="285"/>
      <c r="Y86" s="285"/>
      <c r="Z86" s="285"/>
      <c r="AA86" s="285"/>
      <c r="AB86" s="285"/>
      <c r="AC86" s="285"/>
      <c r="AD86" s="285"/>
      <c r="AE86" s="285"/>
      <c r="AF86" s="285"/>
      <c r="AG86" s="285"/>
      <c r="AH86" s="285"/>
      <c r="AI86" s="285"/>
      <c r="AJ86" s="285"/>
      <c r="AK86" s="285"/>
      <c r="AL86" s="285"/>
    </row>
    <row r="87" spans="11:38">
      <c r="Q87" s="285"/>
      <c r="R87" s="285"/>
      <c r="S87" s="285"/>
      <c r="T87" s="285"/>
      <c r="U87" s="285"/>
      <c r="V87" s="285"/>
      <c r="W87" s="285"/>
      <c r="X87" s="285"/>
      <c r="Y87" s="285"/>
      <c r="Z87" s="285"/>
      <c r="AA87" s="285"/>
      <c r="AB87" s="285"/>
      <c r="AC87" s="285"/>
      <c r="AD87" s="285"/>
      <c r="AE87" s="285"/>
      <c r="AF87" s="285"/>
      <c r="AG87" s="285"/>
      <c r="AH87" s="285"/>
      <c r="AI87" s="285"/>
      <c r="AJ87" s="285"/>
      <c r="AK87" s="285"/>
      <c r="AL87" s="285"/>
    </row>
    <row r="88" spans="11:38">
      <c r="Q88" s="285"/>
      <c r="R88" s="285"/>
      <c r="S88" s="285"/>
      <c r="T88" s="285"/>
      <c r="U88" s="285"/>
      <c r="V88" s="285"/>
      <c r="W88" s="285"/>
      <c r="X88" s="285"/>
      <c r="Y88" s="285"/>
      <c r="Z88" s="285"/>
      <c r="AA88" s="285"/>
      <c r="AB88" s="285"/>
      <c r="AC88" s="285"/>
      <c r="AD88" s="285"/>
      <c r="AE88" s="285"/>
      <c r="AF88" s="285"/>
      <c r="AG88" s="285"/>
      <c r="AH88" s="285"/>
      <c r="AI88" s="285"/>
      <c r="AJ88" s="285"/>
      <c r="AK88" s="285"/>
      <c r="AL88" s="285"/>
    </row>
    <row r="89" spans="11:38">
      <c r="Q89" s="285"/>
      <c r="R89" s="285"/>
      <c r="S89" s="285"/>
      <c r="T89" s="285"/>
      <c r="U89" s="285"/>
      <c r="V89" s="285"/>
      <c r="W89" s="285"/>
      <c r="X89" s="285"/>
      <c r="Y89" s="285"/>
      <c r="Z89" s="285"/>
      <c r="AA89" s="285"/>
      <c r="AB89" s="285"/>
      <c r="AC89" s="285"/>
      <c r="AD89" s="285"/>
      <c r="AE89" s="285"/>
      <c r="AF89" s="285"/>
      <c r="AG89" s="285"/>
      <c r="AH89" s="285"/>
      <c r="AI89" s="285"/>
      <c r="AJ89" s="285"/>
      <c r="AK89" s="285"/>
      <c r="AL89" s="285"/>
    </row>
    <row r="90" spans="11:38">
      <c r="Q90" s="285"/>
      <c r="R90" s="285"/>
      <c r="S90" s="285"/>
      <c r="T90" s="285"/>
      <c r="U90" s="285"/>
      <c r="V90" s="285"/>
      <c r="W90" s="285"/>
      <c r="X90" s="285"/>
      <c r="Y90" s="285"/>
      <c r="Z90" s="285"/>
      <c r="AA90" s="285"/>
      <c r="AB90" s="285"/>
      <c r="AC90" s="285"/>
      <c r="AD90" s="285"/>
      <c r="AE90" s="285"/>
      <c r="AF90" s="285"/>
      <c r="AG90" s="285"/>
      <c r="AH90" s="285"/>
      <c r="AI90" s="285"/>
      <c r="AJ90" s="285"/>
      <c r="AK90" s="285"/>
      <c r="AL90" s="285"/>
    </row>
    <row r="91" spans="11:38">
      <c r="Q91" s="285"/>
      <c r="R91" s="285"/>
      <c r="S91" s="285"/>
      <c r="T91" s="285"/>
      <c r="U91" s="285"/>
      <c r="V91" s="285"/>
      <c r="W91" s="285"/>
      <c r="X91" s="285"/>
      <c r="Y91" s="285"/>
      <c r="Z91" s="285"/>
      <c r="AA91" s="285"/>
      <c r="AB91" s="285"/>
      <c r="AC91" s="285"/>
      <c r="AD91" s="285"/>
      <c r="AE91" s="285"/>
      <c r="AF91" s="285"/>
      <c r="AG91" s="285"/>
      <c r="AH91" s="285"/>
      <c r="AI91" s="285"/>
      <c r="AJ91" s="285"/>
      <c r="AK91" s="285"/>
      <c r="AL91" s="285"/>
    </row>
    <row r="92" spans="11:38">
      <c r="Q92" s="285"/>
      <c r="R92" s="285"/>
      <c r="S92" s="285"/>
      <c r="T92" s="285"/>
      <c r="U92" s="285"/>
      <c r="V92" s="285"/>
      <c r="W92" s="285"/>
      <c r="X92" s="285"/>
      <c r="Y92" s="285"/>
      <c r="Z92" s="285"/>
      <c r="AA92" s="285"/>
      <c r="AB92" s="285"/>
      <c r="AC92" s="285"/>
      <c r="AD92" s="285"/>
      <c r="AE92" s="285"/>
      <c r="AF92" s="285"/>
      <c r="AG92" s="285"/>
      <c r="AH92" s="285"/>
      <c r="AI92" s="285"/>
      <c r="AJ92" s="285"/>
      <c r="AK92" s="285"/>
      <c r="AL92" s="285"/>
    </row>
    <row r="93" spans="11:38">
      <c r="Q93" s="285"/>
      <c r="R93" s="285"/>
      <c r="S93" s="285"/>
      <c r="T93" s="285"/>
      <c r="U93" s="285"/>
      <c r="V93" s="285"/>
      <c r="W93" s="285"/>
      <c r="X93" s="285"/>
      <c r="Y93" s="285"/>
      <c r="Z93" s="285"/>
      <c r="AA93" s="285"/>
      <c r="AB93" s="285"/>
      <c r="AC93" s="285"/>
      <c r="AD93" s="285"/>
      <c r="AE93" s="285"/>
      <c r="AF93" s="285"/>
      <c r="AG93" s="285"/>
      <c r="AH93" s="285"/>
      <c r="AI93" s="285"/>
      <c r="AJ93" s="285"/>
      <c r="AK93" s="285"/>
      <c r="AL93" s="285"/>
    </row>
    <row r="94" spans="11:38">
      <c r="Q94" s="285"/>
      <c r="R94" s="285"/>
      <c r="S94" s="285"/>
      <c r="T94" s="285"/>
      <c r="U94" s="285"/>
      <c r="V94" s="285"/>
      <c r="W94" s="285"/>
      <c r="X94" s="285"/>
      <c r="Y94" s="285"/>
      <c r="Z94" s="285"/>
      <c r="AA94" s="285"/>
      <c r="AB94" s="285"/>
      <c r="AC94" s="285"/>
      <c r="AD94" s="285"/>
      <c r="AE94" s="285"/>
      <c r="AF94" s="285"/>
      <c r="AG94" s="285"/>
      <c r="AH94" s="285"/>
      <c r="AI94" s="285"/>
      <c r="AJ94" s="285"/>
      <c r="AK94" s="285"/>
      <c r="AL94" s="285"/>
    </row>
    <row r="95" spans="11:38">
      <c r="Q95" s="285"/>
      <c r="R95" s="285"/>
      <c r="S95" s="285"/>
      <c r="T95" s="285"/>
      <c r="U95" s="285"/>
      <c r="V95" s="285"/>
      <c r="W95" s="285"/>
      <c r="X95" s="285"/>
      <c r="Y95" s="285"/>
      <c r="Z95" s="285"/>
      <c r="AA95" s="285"/>
      <c r="AB95" s="285"/>
      <c r="AC95" s="285"/>
      <c r="AD95" s="285"/>
      <c r="AE95" s="285"/>
      <c r="AF95" s="285"/>
      <c r="AG95" s="285"/>
      <c r="AH95" s="285"/>
      <c r="AI95" s="285"/>
      <c r="AJ95" s="285"/>
      <c r="AK95" s="285"/>
      <c r="AL95" s="285"/>
    </row>
    <row r="96" spans="11:38">
      <c r="Q96" s="285"/>
      <c r="R96" s="285"/>
      <c r="S96" s="285"/>
      <c r="T96" s="285"/>
      <c r="U96" s="285"/>
      <c r="V96" s="285"/>
      <c r="W96" s="285"/>
      <c r="X96" s="285"/>
      <c r="Y96" s="285"/>
      <c r="Z96" s="285"/>
      <c r="AA96" s="285"/>
      <c r="AB96" s="285"/>
      <c r="AC96" s="285"/>
      <c r="AD96" s="285"/>
      <c r="AE96" s="285"/>
      <c r="AF96" s="285"/>
      <c r="AG96" s="285"/>
      <c r="AH96" s="285"/>
      <c r="AI96" s="285"/>
      <c r="AJ96" s="285"/>
      <c r="AK96" s="285"/>
      <c r="AL96" s="285"/>
    </row>
    <row r="97" spans="17:38">
      <c r="Q97" s="285"/>
      <c r="R97" s="285"/>
      <c r="S97" s="285"/>
      <c r="T97" s="285"/>
      <c r="U97" s="285"/>
      <c r="V97" s="285"/>
      <c r="W97" s="285"/>
      <c r="X97" s="285"/>
      <c r="Y97" s="285"/>
      <c r="Z97" s="285"/>
      <c r="AA97" s="285"/>
      <c r="AB97" s="285"/>
      <c r="AC97" s="285"/>
      <c r="AD97" s="285"/>
      <c r="AE97" s="285"/>
      <c r="AF97" s="285"/>
      <c r="AG97" s="285"/>
      <c r="AH97" s="285"/>
      <c r="AI97" s="285"/>
      <c r="AJ97" s="285"/>
      <c r="AK97" s="285"/>
      <c r="AL97" s="285"/>
    </row>
    <row r="98" spans="17:38">
      <c r="Q98" s="285"/>
      <c r="R98" s="285"/>
      <c r="S98" s="285"/>
      <c r="T98" s="285"/>
      <c r="U98" s="285"/>
      <c r="V98" s="285"/>
      <c r="W98" s="285"/>
      <c r="X98" s="285"/>
      <c r="Y98" s="285"/>
      <c r="Z98" s="285"/>
      <c r="AA98" s="285"/>
      <c r="AB98" s="285"/>
      <c r="AC98" s="285"/>
      <c r="AD98" s="285"/>
      <c r="AE98" s="285"/>
      <c r="AF98" s="285"/>
      <c r="AG98" s="285"/>
      <c r="AH98" s="285"/>
      <c r="AI98" s="285"/>
      <c r="AJ98" s="285"/>
      <c r="AK98" s="285"/>
      <c r="AL98" s="285"/>
    </row>
    <row r="99" spans="17:38">
      <c r="Q99" s="285"/>
      <c r="R99" s="285"/>
      <c r="S99" s="285"/>
      <c r="T99" s="285"/>
      <c r="U99" s="285"/>
      <c r="V99" s="285"/>
      <c r="W99" s="285"/>
      <c r="X99" s="285"/>
      <c r="Y99" s="285"/>
      <c r="Z99" s="285"/>
      <c r="AA99" s="285"/>
      <c r="AB99" s="285"/>
      <c r="AC99" s="285"/>
      <c r="AD99" s="285"/>
      <c r="AE99" s="285"/>
      <c r="AF99" s="285"/>
      <c r="AG99" s="285"/>
      <c r="AH99" s="285"/>
      <c r="AI99" s="285"/>
      <c r="AJ99" s="285"/>
      <c r="AK99" s="285"/>
      <c r="AL99" s="285"/>
    </row>
    <row r="100" spans="17:38">
      <c r="Q100" s="285"/>
      <c r="R100" s="285"/>
      <c r="S100" s="285"/>
      <c r="T100" s="285"/>
      <c r="U100" s="285"/>
      <c r="V100" s="285"/>
      <c r="W100" s="285"/>
      <c r="X100" s="285"/>
      <c r="Y100" s="285"/>
      <c r="Z100" s="285"/>
      <c r="AA100" s="285"/>
      <c r="AB100" s="285"/>
      <c r="AC100" s="285"/>
      <c r="AD100" s="285"/>
      <c r="AE100" s="285"/>
      <c r="AF100" s="285"/>
      <c r="AG100" s="285"/>
      <c r="AH100" s="285"/>
      <c r="AI100" s="285"/>
      <c r="AJ100" s="285"/>
      <c r="AK100" s="285"/>
      <c r="AL100" s="285"/>
    </row>
    <row r="101" spans="17:38">
      <c r="Q101" s="285"/>
      <c r="R101" s="285"/>
      <c r="S101" s="285"/>
      <c r="T101" s="285"/>
      <c r="U101" s="285"/>
      <c r="V101" s="285"/>
      <c r="W101" s="285"/>
      <c r="X101" s="285"/>
      <c r="Y101" s="285"/>
      <c r="Z101" s="285"/>
      <c r="AA101" s="285"/>
      <c r="AB101" s="285"/>
      <c r="AC101" s="285"/>
      <c r="AD101" s="285"/>
      <c r="AE101" s="285"/>
      <c r="AF101" s="285"/>
      <c r="AG101" s="285"/>
      <c r="AH101" s="285"/>
      <c r="AI101" s="285"/>
      <c r="AJ101" s="285"/>
      <c r="AK101" s="285"/>
      <c r="AL101" s="285"/>
    </row>
    <row r="102" spans="17:38">
      <c r="Q102" s="285"/>
      <c r="R102" s="285"/>
      <c r="S102" s="285"/>
      <c r="T102" s="285"/>
      <c r="U102" s="285"/>
      <c r="V102" s="285"/>
      <c r="W102" s="285"/>
      <c r="X102" s="285"/>
      <c r="Y102" s="285"/>
      <c r="Z102" s="285"/>
      <c r="AA102" s="285"/>
      <c r="AB102" s="285"/>
      <c r="AC102" s="285"/>
      <c r="AD102" s="285"/>
      <c r="AE102" s="285"/>
      <c r="AF102" s="285"/>
      <c r="AG102" s="285"/>
      <c r="AH102" s="285"/>
      <c r="AI102" s="285"/>
      <c r="AJ102" s="285"/>
      <c r="AK102" s="285"/>
      <c r="AL102" s="285"/>
    </row>
    <row r="103" spans="17:38">
      <c r="Q103" s="285"/>
      <c r="R103" s="285"/>
      <c r="S103" s="285"/>
      <c r="T103" s="285"/>
      <c r="U103" s="285"/>
      <c r="V103" s="285"/>
      <c r="W103" s="285"/>
      <c r="X103" s="285"/>
      <c r="Y103" s="285"/>
      <c r="Z103" s="285"/>
      <c r="AA103" s="285"/>
      <c r="AB103" s="285"/>
      <c r="AC103" s="285"/>
      <c r="AD103" s="285"/>
      <c r="AE103" s="285"/>
      <c r="AF103" s="285"/>
      <c r="AG103" s="285"/>
      <c r="AH103" s="285"/>
      <c r="AI103" s="285"/>
      <c r="AJ103" s="285"/>
      <c r="AK103" s="285"/>
      <c r="AL103" s="285"/>
    </row>
  </sheetData>
  <mergeCells count="40">
    <mergeCell ref="O43:O46"/>
    <mergeCell ref="O53:O56"/>
    <mergeCell ref="K53:K56"/>
    <mergeCell ref="K48:K51"/>
    <mergeCell ref="O42:Q42"/>
    <mergeCell ref="K63:K66"/>
    <mergeCell ref="O63:O66"/>
    <mergeCell ref="K58:K61"/>
    <mergeCell ref="O58:O61"/>
    <mergeCell ref="O48:O51"/>
    <mergeCell ref="A1:D1"/>
    <mergeCell ref="K43:K46"/>
    <mergeCell ref="A7:C7"/>
    <mergeCell ref="A8:C8"/>
    <mergeCell ref="E10:I10"/>
    <mergeCell ref="A11:C11"/>
    <mergeCell ref="B12:C12"/>
    <mergeCell ref="B13:C13"/>
    <mergeCell ref="H1:K1"/>
    <mergeCell ref="A3:F3"/>
    <mergeCell ref="B15:C15"/>
    <mergeCell ref="K42:M42"/>
    <mergeCell ref="B14:C14"/>
    <mergeCell ref="B16:C16"/>
    <mergeCell ref="B17:C17"/>
    <mergeCell ref="H3:K4"/>
    <mergeCell ref="A36:J36"/>
    <mergeCell ref="A28:A32"/>
    <mergeCell ref="B28:C32"/>
    <mergeCell ref="D28:D32"/>
    <mergeCell ref="E28:E32"/>
    <mergeCell ref="A34:K34"/>
    <mergeCell ref="J28:J32"/>
    <mergeCell ref="A20:C20"/>
    <mergeCell ref="A21:C21"/>
    <mergeCell ref="A22:C22"/>
    <mergeCell ref="A23:C23"/>
    <mergeCell ref="I28:I32"/>
    <mergeCell ref="A24:C24"/>
    <mergeCell ref="B27:C27"/>
  </mergeCells>
  <phoneticPr fontId="2" type="noConversion"/>
  <dataValidations count="3">
    <dataValidation type="list" allowBlank="1" showInputMessage="1" showErrorMessage="1" sqref="F12:F17 F32:F33 F30 F21 F28 F24">
      <formula1>$K$75:$K$79</formula1>
    </dataValidation>
    <dataValidation type="list" allowBlank="1" showInputMessage="1" showErrorMessage="1" sqref="F22:F23">
      <formula1>$K$77:$K$81</formula1>
    </dataValidation>
    <dataValidation type="list" allowBlank="1" showInputMessage="1" showErrorMessage="1" sqref="F8">
      <formula1>$K$79:$K$82</formula1>
    </dataValidation>
  </dataValidations>
  <printOptions horizontalCentered="1"/>
  <pageMargins left="0.78740157480314965" right="0.47244094488188981" top="0.98425196850393704" bottom="0.27559055118110237" header="0.51181102362204722" footer="0.15748031496062992"/>
  <pageSetup paperSize="9" scale="47" orientation="portrait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T102"/>
  <sheetViews>
    <sheetView showGridLines="0" view="pageBreakPreview" zoomScaleNormal="100" zoomScaleSheetLayoutView="100" workbookViewId="0">
      <selection activeCell="A3" sqref="A3"/>
    </sheetView>
  </sheetViews>
  <sheetFormatPr defaultRowHeight="16.5"/>
  <cols>
    <col min="1" max="1" width="7.75" style="156" customWidth="1"/>
    <col min="2" max="2" width="9.875" style="156" customWidth="1"/>
    <col min="3" max="3" width="10.5" style="156" bestFit="1" customWidth="1"/>
    <col min="4" max="5" width="12.75" style="156" customWidth="1"/>
    <col min="6" max="6" width="48.625" style="156" customWidth="1"/>
    <col min="7" max="7" width="10.25" style="156" customWidth="1"/>
    <col min="8" max="8" width="15" style="156" customWidth="1"/>
    <col min="9" max="9" width="8.125" style="156" bestFit="1" customWidth="1"/>
    <col min="10" max="11" width="13.125" style="156" bestFit="1" customWidth="1"/>
    <col min="12" max="12" width="12.375" style="156" customWidth="1"/>
    <col min="13" max="13" width="12.5" style="281" bestFit="1" customWidth="1"/>
    <col min="14" max="14" width="12.625" style="285" bestFit="1" customWidth="1"/>
    <col min="15" max="15" width="5.5" style="156" customWidth="1"/>
    <col min="16" max="17" width="9" style="280"/>
    <col min="18" max="19" width="11.125" style="280" customWidth="1"/>
    <col min="20" max="20" width="12.5" style="280" bestFit="1" customWidth="1"/>
    <col min="21" max="256" width="9" style="156"/>
    <col min="257" max="257" width="7.75" style="156" customWidth="1"/>
    <col min="258" max="258" width="9.875" style="156" customWidth="1"/>
    <col min="259" max="259" width="10.25" style="156" bestFit="1" customWidth="1"/>
    <col min="260" max="260" width="11" style="156" customWidth="1"/>
    <col min="261" max="261" width="11.375" style="156" customWidth="1"/>
    <col min="262" max="262" width="11" style="156" customWidth="1"/>
    <col min="263" max="263" width="9.75" style="156" customWidth="1"/>
    <col min="264" max="264" width="10.25" style="156" bestFit="1" customWidth="1"/>
    <col min="265" max="265" width="8.125" style="156" bestFit="1" customWidth="1"/>
    <col min="266" max="267" width="13.125" style="156" bestFit="1" customWidth="1"/>
    <col min="268" max="268" width="12.375" style="156" customWidth="1"/>
    <col min="269" max="269" width="13.125" style="156" bestFit="1" customWidth="1"/>
    <col min="270" max="270" width="12.625" style="156" bestFit="1" customWidth="1"/>
    <col min="271" max="271" width="5.5" style="156" customWidth="1"/>
    <col min="272" max="273" width="9" style="156"/>
    <col min="274" max="275" width="11.125" style="156" customWidth="1"/>
    <col min="276" max="276" width="12.5" style="156" bestFit="1" customWidth="1"/>
    <col min="277" max="512" width="9" style="156"/>
    <col min="513" max="513" width="7.75" style="156" customWidth="1"/>
    <col min="514" max="514" width="9.875" style="156" customWidth="1"/>
    <col min="515" max="515" width="10.25" style="156" bestFit="1" customWidth="1"/>
    <col min="516" max="516" width="11" style="156" customWidth="1"/>
    <col min="517" max="517" width="11.375" style="156" customWidth="1"/>
    <col min="518" max="518" width="11" style="156" customWidth="1"/>
    <col min="519" max="519" width="9.75" style="156" customWidth="1"/>
    <col min="520" max="520" width="10.25" style="156" bestFit="1" customWidth="1"/>
    <col min="521" max="521" width="8.125" style="156" bestFit="1" customWidth="1"/>
    <col min="522" max="523" width="13.125" style="156" bestFit="1" customWidth="1"/>
    <col min="524" max="524" width="12.375" style="156" customWidth="1"/>
    <col min="525" max="525" width="13.125" style="156" bestFit="1" customWidth="1"/>
    <col min="526" max="526" width="12.625" style="156" bestFit="1" customWidth="1"/>
    <col min="527" max="527" width="5.5" style="156" customWidth="1"/>
    <col min="528" max="529" width="9" style="156"/>
    <col min="530" max="531" width="11.125" style="156" customWidth="1"/>
    <col min="532" max="532" width="12.5" style="156" bestFit="1" customWidth="1"/>
    <col min="533" max="768" width="9" style="156"/>
    <col min="769" max="769" width="7.75" style="156" customWidth="1"/>
    <col min="770" max="770" width="9.875" style="156" customWidth="1"/>
    <col min="771" max="771" width="10.25" style="156" bestFit="1" customWidth="1"/>
    <col min="772" max="772" width="11" style="156" customWidth="1"/>
    <col min="773" max="773" width="11.375" style="156" customWidth="1"/>
    <col min="774" max="774" width="11" style="156" customWidth="1"/>
    <col min="775" max="775" width="9.75" style="156" customWidth="1"/>
    <col min="776" max="776" width="10.25" style="156" bestFit="1" customWidth="1"/>
    <col min="777" max="777" width="8.125" style="156" bestFit="1" customWidth="1"/>
    <col min="778" max="779" width="13.125" style="156" bestFit="1" customWidth="1"/>
    <col min="780" max="780" width="12.375" style="156" customWidth="1"/>
    <col min="781" max="781" width="13.125" style="156" bestFit="1" customWidth="1"/>
    <col min="782" max="782" width="12.625" style="156" bestFit="1" customWidth="1"/>
    <col min="783" max="783" width="5.5" style="156" customWidth="1"/>
    <col min="784" max="785" width="9" style="156"/>
    <col min="786" max="787" width="11.125" style="156" customWidth="1"/>
    <col min="788" max="788" width="12.5" style="156" bestFit="1" customWidth="1"/>
    <col min="789" max="1024" width="9" style="156"/>
    <col min="1025" max="1025" width="7.75" style="156" customWidth="1"/>
    <col min="1026" max="1026" width="9.875" style="156" customWidth="1"/>
    <col min="1027" max="1027" width="10.25" style="156" bestFit="1" customWidth="1"/>
    <col min="1028" max="1028" width="11" style="156" customWidth="1"/>
    <col min="1029" max="1029" width="11.375" style="156" customWidth="1"/>
    <col min="1030" max="1030" width="11" style="156" customWidth="1"/>
    <col min="1031" max="1031" width="9.75" style="156" customWidth="1"/>
    <col min="1032" max="1032" width="10.25" style="156" bestFit="1" customWidth="1"/>
    <col min="1033" max="1033" width="8.125" style="156" bestFit="1" customWidth="1"/>
    <col min="1034" max="1035" width="13.125" style="156" bestFit="1" customWidth="1"/>
    <col min="1036" max="1036" width="12.375" style="156" customWidth="1"/>
    <col min="1037" max="1037" width="13.125" style="156" bestFit="1" customWidth="1"/>
    <col min="1038" max="1038" width="12.625" style="156" bestFit="1" customWidth="1"/>
    <col min="1039" max="1039" width="5.5" style="156" customWidth="1"/>
    <col min="1040" max="1041" width="9" style="156"/>
    <col min="1042" max="1043" width="11.125" style="156" customWidth="1"/>
    <col min="1044" max="1044" width="12.5" style="156" bestFit="1" customWidth="1"/>
    <col min="1045" max="1280" width="9" style="156"/>
    <col min="1281" max="1281" width="7.75" style="156" customWidth="1"/>
    <col min="1282" max="1282" width="9.875" style="156" customWidth="1"/>
    <col min="1283" max="1283" width="10.25" style="156" bestFit="1" customWidth="1"/>
    <col min="1284" max="1284" width="11" style="156" customWidth="1"/>
    <col min="1285" max="1285" width="11.375" style="156" customWidth="1"/>
    <col min="1286" max="1286" width="11" style="156" customWidth="1"/>
    <col min="1287" max="1287" width="9.75" style="156" customWidth="1"/>
    <col min="1288" max="1288" width="10.25" style="156" bestFit="1" customWidth="1"/>
    <col min="1289" max="1289" width="8.125" style="156" bestFit="1" customWidth="1"/>
    <col min="1290" max="1291" width="13.125" style="156" bestFit="1" customWidth="1"/>
    <col min="1292" max="1292" width="12.375" style="156" customWidth="1"/>
    <col min="1293" max="1293" width="13.125" style="156" bestFit="1" customWidth="1"/>
    <col min="1294" max="1294" width="12.625" style="156" bestFit="1" customWidth="1"/>
    <col min="1295" max="1295" width="5.5" style="156" customWidth="1"/>
    <col min="1296" max="1297" width="9" style="156"/>
    <col min="1298" max="1299" width="11.125" style="156" customWidth="1"/>
    <col min="1300" max="1300" width="12.5" style="156" bestFit="1" customWidth="1"/>
    <col min="1301" max="1536" width="9" style="156"/>
    <col min="1537" max="1537" width="7.75" style="156" customWidth="1"/>
    <col min="1538" max="1538" width="9.875" style="156" customWidth="1"/>
    <col min="1539" max="1539" width="10.25" style="156" bestFit="1" customWidth="1"/>
    <col min="1540" max="1540" width="11" style="156" customWidth="1"/>
    <col min="1541" max="1541" width="11.375" style="156" customWidth="1"/>
    <col min="1542" max="1542" width="11" style="156" customWidth="1"/>
    <col min="1543" max="1543" width="9.75" style="156" customWidth="1"/>
    <col min="1544" max="1544" width="10.25" style="156" bestFit="1" customWidth="1"/>
    <col min="1545" max="1545" width="8.125" style="156" bestFit="1" customWidth="1"/>
    <col min="1546" max="1547" width="13.125" style="156" bestFit="1" customWidth="1"/>
    <col min="1548" max="1548" width="12.375" style="156" customWidth="1"/>
    <col min="1549" max="1549" width="13.125" style="156" bestFit="1" customWidth="1"/>
    <col min="1550" max="1550" width="12.625" style="156" bestFit="1" customWidth="1"/>
    <col min="1551" max="1551" width="5.5" style="156" customWidth="1"/>
    <col min="1552" max="1553" width="9" style="156"/>
    <col min="1554" max="1555" width="11.125" style="156" customWidth="1"/>
    <col min="1556" max="1556" width="12.5" style="156" bestFit="1" customWidth="1"/>
    <col min="1557" max="1792" width="9" style="156"/>
    <col min="1793" max="1793" width="7.75" style="156" customWidth="1"/>
    <col min="1794" max="1794" width="9.875" style="156" customWidth="1"/>
    <col min="1795" max="1795" width="10.25" style="156" bestFit="1" customWidth="1"/>
    <col min="1796" max="1796" width="11" style="156" customWidth="1"/>
    <col min="1797" max="1797" width="11.375" style="156" customWidth="1"/>
    <col min="1798" max="1798" width="11" style="156" customWidth="1"/>
    <col min="1799" max="1799" width="9.75" style="156" customWidth="1"/>
    <col min="1800" max="1800" width="10.25" style="156" bestFit="1" customWidth="1"/>
    <col min="1801" max="1801" width="8.125" style="156" bestFit="1" customWidth="1"/>
    <col min="1802" max="1803" width="13.125" style="156" bestFit="1" customWidth="1"/>
    <col min="1804" max="1804" width="12.375" style="156" customWidth="1"/>
    <col min="1805" max="1805" width="13.125" style="156" bestFit="1" customWidth="1"/>
    <col min="1806" max="1806" width="12.625" style="156" bestFit="1" customWidth="1"/>
    <col min="1807" max="1807" width="5.5" style="156" customWidth="1"/>
    <col min="1808" max="1809" width="9" style="156"/>
    <col min="1810" max="1811" width="11.125" style="156" customWidth="1"/>
    <col min="1812" max="1812" width="12.5" style="156" bestFit="1" customWidth="1"/>
    <col min="1813" max="2048" width="9" style="156"/>
    <col min="2049" max="2049" width="7.75" style="156" customWidth="1"/>
    <col min="2050" max="2050" width="9.875" style="156" customWidth="1"/>
    <col min="2051" max="2051" width="10.25" style="156" bestFit="1" customWidth="1"/>
    <col min="2052" max="2052" width="11" style="156" customWidth="1"/>
    <col min="2053" max="2053" width="11.375" style="156" customWidth="1"/>
    <col min="2054" max="2054" width="11" style="156" customWidth="1"/>
    <col min="2055" max="2055" width="9.75" style="156" customWidth="1"/>
    <col min="2056" max="2056" width="10.25" style="156" bestFit="1" customWidth="1"/>
    <col min="2057" max="2057" width="8.125" style="156" bestFit="1" customWidth="1"/>
    <col min="2058" max="2059" width="13.125" style="156" bestFit="1" customWidth="1"/>
    <col min="2060" max="2060" width="12.375" style="156" customWidth="1"/>
    <col min="2061" max="2061" width="13.125" style="156" bestFit="1" customWidth="1"/>
    <col min="2062" max="2062" width="12.625" style="156" bestFit="1" customWidth="1"/>
    <col min="2063" max="2063" width="5.5" style="156" customWidth="1"/>
    <col min="2064" max="2065" width="9" style="156"/>
    <col min="2066" max="2067" width="11.125" style="156" customWidth="1"/>
    <col min="2068" max="2068" width="12.5" style="156" bestFit="1" customWidth="1"/>
    <col min="2069" max="2304" width="9" style="156"/>
    <col min="2305" max="2305" width="7.75" style="156" customWidth="1"/>
    <col min="2306" max="2306" width="9.875" style="156" customWidth="1"/>
    <col min="2307" max="2307" width="10.25" style="156" bestFit="1" customWidth="1"/>
    <col min="2308" max="2308" width="11" style="156" customWidth="1"/>
    <col min="2309" max="2309" width="11.375" style="156" customWidth="1"/>
    <col min="2310" max="2310" width="11" style="156" customWidth="1"/>
    <col min="2311" max="2311" width="9.75" style="156" customWidth="1"/>
    <col min="2312" max="2312" width="10.25" style="156" bestFit="1" customWidth="1"/>
    <col min="2313" max="2313" width="8.125" style="156" bestFit="1" customWidth="1"/>
    <col min="2314" max="2315" width="13.125" style="156" bestFit="1" customWidth="1"/>
    <col min="2316" max="2316" width="12.375" style="156" customWidth="1"/>
    <col min="2317" max="2317" width="13.125" style="156" bestFit="1" customWidth="1"/>
    <col min="2318" max="2318" width="12.625" style="156" bestFit="1" customWidth="1"/>
    <col min="2319" max="2319" width="5.5" style="156" customWidth="1"/>
    <col min="2320" max="2321" width="9" style="156"/>
    <col min="2322" max="2323" width="11.125" style="156" customWidth="1"/>
    <col min="2324" max="2324" width="12.5" style="156" bestFit="1" customWidth="1"/>
    <col min="2325" max="2560" width="9" style="156"/>
    <col min="2561" max="2561" width="7.75" style="156" customWidth="1"/>
    <col min="2562" max="2562" width="9.875" style="156" customWidth="1"/>
    <col min="2563" max="2563" width="10.25" style="156" bestFit="1" customWidth="1"/>
    <col min="2564" max="2564" width="11" style="156" customWidth="1"/>
    <col min="2565" max="2565" width="11.375" style="156" customWidth="1"/>
    <col min="2566" max="2566" width="11" style="156" customWidth="1"/>
    <col min="2567" max="2567" width="9.75" style="156" customWidth="1"/>
    <col min="2568" max="2568" width="10.25" style="156" bestFit="1" customWidth="1"/>
    <col min="2569" max="2569" width="8.125" style="156" bestFit="1" customWidth="1"/>
    <col min="2570" max="2571" width="13.125" style="156" bestFit="1" customWidth="1"/>
    <col min="2572" max="2572" width="12.375" style="156" customWidth="1"/>
    <col min="2573" max="2573" width="13.125" style="156" bestFit="1" customWidth="1"/>
    <col min="2574" max="2574" width="12.625" style="156" bestFit="1" customWidth="1"/>
    <col min="2575" max="2575" width="5.5" style="156" customWidth="1"/>
    <col min="2576" max="2577" width="9" style="156"/>
    <col min="2578" max="2579" width="11.125" style="156" customWidth="1"/>
    <col min="2580" max="2580" width="12.5" style="156" bestFit="1" customWidth="1"/>
    <col min="2581" max="2816" width="9" style="156"/>
    <col min="2817" max="2817" width="7.75" style="156" customWidth="1"/>
    <col min="2818" max="2818" width="9.875" style="156" customWidth="1"/>
    <col min="2819" max="2819" width="10.25" style="156" bestFit="1" customWidth="1"/>
    <col min="2820" max="2820" width="11" style="156" customWidth="1"/>
    <col min="2821" max="2821" width="11.375" style="156" customWidth="1"/>
    <col min="2822" max="2822" width="11" style="156" customWidth="1"/>
    <col min="2823" max="2823" width="9.75" style="156" customWidth="1"/>
    <col min="2824" max="2824" width="10.25" style="156" bestFit="1" customWidth="1"/>
    <col min="2825" max="2825" width="8.125" style="156" bestFit="1" customWidth="1"/>
    <col min="2826" max="2827" width="13.125" style="156" bestFit="1" customWidth="1"/>
    <col min="2828" max="2828" width="12.375" style="156" customWidth="1"/>
    <col min="2829" max="2829" width="13.125" style="156" bestFit="1" customWidth="1"/>
    <col min="2830" max="2830" width="12.625" style="156" bestFit="1" customWidth="1"/>
    <col min="2831" max="2831" width="5.5" style="156" customWidth="1"/>
    <col min="2832" max="2833" width="9" style="156"/>
    <col min="2834" max="2835" width="11.125" style="156" customWidth="1"/>
    <col min="2836" max="2836" width="12.5" style="156" bestFit="1" customWidth="1"/>
    <col min="2837" max="3072" width="9" style="156"/>
    <col min="3073" max="3073" width="7.75" style="156" customWidth="1"/>
    <col min="3074" max="3074" width="9.875" style="156" customWidth="1"/>
    <col min="3075" max="3075" width="10.25" style="156" bestFit="1" customWidth="1"/>
    <col min="3076" max="3076" width="11" style="156" customWidth="1"/>
    <col min="3077" max="3077" width="11.375" style="156" customWidth="1"/>
    <col min="3078" max="3078" width="11" style="156" customWidth="1"/>
    <col min="3079" max="3079" width="9.75" style="156" customWidth="1"/>
    <col min="3080" max="3080" width="10.25" style="156" bestFit="1" customWidth="1"/>
    <col min="3081" max="3081" width="8.125" style="156" bestFit="1" customWidth="1"/>
    <col min="3082" max="3083" width="13.125" style="156" bestFit="1" customWidth="1"/>
    <col min="3084" max="3084" width="12.375" style="156" customWidth="1"/>
    <col min="3085" max="3085" width="13.125" style="156" bestFit="1" customWidth="1"/>
    <col min="3086" max="3086" width="12.625" style="156" bestFit="1" customWidth="1"/>
    <col min="3087" max="3087" width="5.5" style="156" customWidth="1"/>
    <col min="3088" max="3089" width="9" style="156"/>
    <col min="3090" max="3091" width="11.125" style="156" customWidth="1"/>
    <col min="3092" max="3092" width="12.5" style="156" bestFit="1" customWidth="1"/>
    <col min="3093" max="3328" width="9" style="156"/>
    <col min="3329" max="3329" width="7.75" style="156" customWidth="1"/>
    <col min="3330" max="3330" width="9.875" style="156" customWidth="1"/>
    <col min="3331" max="3331" width="10.25" style="156" bestFit="1" customWidth="1"/>
    <col min="3332" max="3332" width="11" style="156" customWidth="1"/>
    <col min="3333" max="3333" width="11.375" style="156" customWidth="1"/>
    <col min="3334" max="3334" width="11" style="156" customWidth="1"/>
    <col min="3335" max="3335" width="9.75" style="156" customWidth="1"/>
    <col min="3336" max="3336" width="10.25" style="156" bestFit="1" customWidth="1"/>
    <col min="3337" max="3337" width="8.125" style="156" bestFit="1" customWidth="1"/>
    <col min="3338" max="3339" width="13.125" style="156" bestFit="1" customWidth="1"/>
    <col min="3340" max="3340" width="12.375" style="156" customWidth="1"/>
    <col min="3341" max="3341" width="13.125" style="156" bestFit="1" customWidth="1"/>
    <col min="3342" max="3342" width="12.625" style="156" bestFit="1" customWidth="1"/>
    <col min="3343" max="3343" width="5.5" style="156" customWidth="1"/>
    <col min="3344" max="3345" width="9" style="156"/>
    <col min="3346" max="3347" width="11.125" style="156" customWidth="1"/>
    <col min="3348" max="3348" width="12.5" style="156" bestFit="1" customWidth="1"/>
    <col min="3349" max="3584" width="9" style="156"/>
    <col min="3585" max="3585" width="7.75" style="156" customWidth="1"/>
    <col min="3586" max="3586" width="9.875" style="156" customWidth="1"/>
    <col min="3587" max="3587" width="10.25" style="156" bestFit="1" customWidth="1"/>
    <col min="3588" max="3588" width="11" style="156" customWidth="1"/>
    <col min="3589" max="3589" width="11.375" style="156" customWidth="1"/>
    <col min="3590" max="3590" width="11" style="156" customWidth="1"/>
    <col min="3591" max="3591" width="9.75" style="156" customWidth="1"/>
    <col min="3592" max="3592" width="10.25" style="156" bestFit="1" customWidth="1"/>
    <col min="3593" max="3593" width="8.125" style="156" bestFit="1" customWidth="1"/>
    <col min="3594" max="3595" width="13.125" style="156" bestFit="1" customWidth="1"/>
    <col min="3596" max="3596" width="12.375" style="156" customWidth="1"/>
    <col min="3597" max="3597" width="13.125" style="156" bestFit="1" customWidth="1"/>
    <col min="3598" max="3598" width="12.625" style="156" bestFit="1" customWidth="1"/>
    <col min="3599" max="3599" width="5.5" style="156" customWidth="1"/>
    <col min="3600" max="3601" width="9" style="156"/>
    <col min="3602" max="3603" width="11.125" style="156" customWidth="1"/>
    <col min="3604" max="3604" width="12.5" style="156" bestFit="1" customWidth="1"/>
    <col min="3605" max="3840" width="9" style="156"/>
    <col min="3841" max="3841" width="7.75" style="156" customWidth="1"/>
    <col min="3842" max="3842" width="9.875" style="156" customWidth="1"/>
    <col min="3843" max="3843" width="10.25" style="156" bestFit="1" customWidth="1"/>
    <col min="3844" max="3844" width="11" style="156" customWidth="1"/>
    <col min="3845" max="3845" width="11.375" style="156" customWidth="1"/>
    <col min="3846" max="3846" width="11" style="156" customWidth="1"/>
    <col min="3847" max="3847" width="9.75" style="156" customWidth="1"/>
    <col min="3848" max="3848" width="10.25" style="156" bestFit="1" customWidth="1"/>
    <col min="3849" max="3849" width="8.125" style="156" bestFit="1" customWidth="1"/>
    <col min="3850" max="3851" width="13.125" style="156" bestFit="1" customWidth="1"/>
    <col min="3852" max="3852" width="12.375" style="156" customWidth="1"/>
    <col min="3853" max="3853" width="13.125" style="156" bestFit="1" customWidth="1"/>
    <col min="3854" max="3854" width="12.625" style="156" bestFit="1" customWidth="1"/>
    <col min="3855" max="3855" width="5.5" style="156" customWidth="1"/>
    <col min="3856" max="3857" width="9" style="156"/>
    <col min="3858" max="3859" width="11.125" style="156" customWidth="1"/>
    <col min="3860" max="3860" width="12.5" style="156" bestFit="1" customWidth="1"/>
    <col min="3861" max="4096" width="9" style="156"/>
    <col min="4097" max="4097" width="7.75" style="156" customWidth="1"/>
    <col min="4098" max="4098" width="9.875" style="156" customWidth="1"/>
    <col min="4099" max="4099" width="10.25" style="156" bestFit="1" customWidth="1"/>
    <col min="4100" max="4100" width="11" style="156" customWidth="1"/>
    <col min="4101" max="4101" width="11.375" style="156" customWidth="1"/>
    <col min="4102" max="4102" width="11" style="156" customWidth="1"/>
    <col min="4103" max="4103" width="9.75" style="156" customWidth="1"/>
    <col min="4104" max="4104" width="10.25" style="156" bestFit="1" customWidth="1"/>
    <col min="4105" max="4105" width="8.125" style="156" bestFit="1" customWidth="1"/>
    <col min="4106" max="4107" width="13.125" style="156" bestFit="1" customWidth="1"/>
    <col min="4108" max="4108" width="12.375" style="156" customWidth="1"/>
    <col min="4109" max="4109" width="13.125" style="156" bestFit="1" customWidth="1"/>
    <col min="4110" max="4110" width="12.625" style="156" bestFit="1" customWidth="1"/>
    <col min="4111" max="4111" width="5.5" style="156" customWidth="1"/>
    <col min="4112" max="4113" width="9" style="156"/>
    <col min="4114" max="4115" width="11.125" style="156" customWidth="1"/>
    <col min="4116" max="4116" width="12.5" style="156" bestFit="1" customWidth="1"/>
    <col min="4117" max="4352" width="9" style="156"/>
    <col min="4353" max="4353" width="7.75" style="156" customWidth="1"/>
    <col min="4354" max="4354" width="9.875" style="156" customWidth="1"/>
    <col min="4355" max="4355" width="10.25" style="156" bestFit="1" customWidth="1"/>
    <col min="4356" max="4356" width="11" style="156" customWidth="1"/>
    <col min="4357" max="4357" width="11.375" style="156" customWidth="1"/>
    <col min="4358" max="4358" width="11" style="156" customWidth="1"/>
    <col min="4359" max="4359" width="9.75" style="156" customWidth="1"/>
    <col min="4360" max="4360" width="10.25" style="156" bestFit="1" customWidth="1"/>
    <col min="4361" max="4361" width="8.125" style="156" bestFit="1" customWidth="1"/>
    <col min="4362" max="4363" width="13.125" style="156" bestFit="1" customWidth="1"/>
    <col min="4364" max="4364" width="12.375" style="156" customWidth="1"/>
    <col min="4365" max="4365" width="13.125" style="156" bestFit="1" customWidth="1"/>
    <col min="4366" max="4366" width="12.625" style="156" bestFit="1" customWidth="1"/>
    <col min="4367" max="4367" width="5.5" style="156" customWidth="1"/>
    <col min="4368" max="4369" width="9" style="156"/>
    <col min="4370" max="4371" width="11.125" style="156" customWidth="1"/>
    <col min="4372" max="4372" width="12.5" style="156" bestFit="1" customWidth="1"/>
    <col min="4373" max="4608" width="9" style="156"/>
    <col min="4609" max="4609" width="7.75" style="156" customWidth="1"/>
    <col min="4610" max="4610" width="9.875" style="156" customWidth="1"/>
    <col min="4611" max="4611" width="10.25" style="156" bestFit="1" customWidth="1"/>
    <col min="4612" max="4612" width="11" style="156" customWidth="1"/>
    <col min="4613" max="4613" width="11.375" style="156" customWidth="1"/>
    <col min="4614" max="4614" width="11" style="156" customWidth="1"/>
    <col min="4615" max="4615" width="9.75" style="156" customWidth="1"/>
    <col min="4616" max="4616" width="10.25" style="156" bestFit="1" customWidth="1"/>
    <col min="4617" max="4617" width="8.125" style="156" bestFit="1" customWidth="1"/>
    <col min="4618" max="4619" width="13.125" style="156" bestFit="1" customWidth="1"/>
    <col min="4620" max="4620" width="12.375" style="156" customWidth="1"/>
    <col min="4621" max="4621" width="13.125" style="156" bestFit="1" customWidth="1"/>
    <col min="4622" max="4622" width="12.625" style="156" bestFit="1" customWidth="1"/>
    <col min="4623" max="4623" width="5.5" style="156" customWidth="1"/>
    <col min="4624" max="4625" width="9" style="156"/>
    <col min="4626" max="4627" width="11.125" style="156" customWidth="1"/>
    <col min="4628" max="4628" width="12.5" style="156" bestFit="1" customWidth="1"/>
    <col min="4629" max="4864" width="9" style="156"/>
    <col min="4865" max="4865" width="7.75" style="156" customWidth="1"/>
    <col min="4866" max="4866" width="9.875" style="156" customWidth="1"/>
    <col min="4867" max="4867" width="10.25" style="156" bestFit="1" customWidth="1"/>
    <col min="4868" max="4868" width="11" style="156" customWidth="1"/>
    <col min="4869" max="4869" width="11.375" style="156" customWidth="1"/>
    <col min="4870" max="4870" width="11" style="156" customWidth="1"/>
    <col min="4871" max="4871" width="9.75" style="156" customWidth="1"/>
    <col min="4872" max="4872" width="10.25" style="156" bestFit="1" customWidth="1"/>
    <col min="4873" max="4873" width="8.125" style="156" bestFit="1" customWidth="1"/>
    <col min="4874" max="4875" width="13.125" style="156" bestFit="1" customWidth="1"/>
    <col min="4876" max="4876" width="12.375" style="156" customWidth="1"/>
    <col min="4877" max="4877" width="13.125" style="156" bestFit="1" customWidth="1"/>
    <col min="4878" max="4878" width="12.625" style="156" bestFit="1" customWidth="1"/>
    <col min="4879" max="4879" width="5.5" style="156" customWidth="1"/>
    <col min="4880" max="4881" width="9" style="156"/>
    <col min="4882" max="4883" width="11.125" style="156" customWidth="1"/>
    <col min="4884" max="4884" width="12.5" style="156" bestFit="1" customWidth="1"/>
    <col min="4885" max="5120" width="9" style="156"/>
    <col min="5121" max="5121" width="7.75" style="156" customWidth="1"/>
    <col min="5122" max="5122" width="9.875" style="156" customWidth="1"/>
    <col min="5123" max="5123" width="10.25" style="156" bestFit="1" customWidth="1"/>
    <col min="5124" max="5124" width="11" style="156" customWidth="1"/>
    <col min="5125" max="5125" width="11.375" style="156" customWidth="1"/>
    <col min="5126" max="5126" width="11" style="156" customWidth="1"/>
    <col min="5127" max="5127" width="9.75" style="156" customWidth="1"/>
    <col min="5128" max="5128" width="10.25" style="156" bestFit="1" customWidth="1"/>
    <col min="5129" max="5129" width="8.125" style="156" bestFit="1" customWidth="1"/>
    <col min="5130" max="5131" width="13.125" style="156" bestFit="1" customWidth="1"/>
    <col min="5132" max="5132" width="12.375" style="156" customWidth="1"/>
    <col min="5133" max="5133" width="13.125" style="156" bestFit="1" customWidth="1"/>
    <col min="5134" max="5134" width="12.625" style="156" bestFit="1" customWidth="1"/>
    <col min="5135" max="5135" width="5.5" style="156" customWidth="1"/>
    <col min="5136" max="5137" width="9" style="156"/>
    <col min="5138" max="5139" width="11.125" style="156" customWidth="1"/>
    <col min="5140" max="5140" width="12.5" style="156" bestFit="1" customWidth="1"/>
    <col min="5141" max="5376" width="9" style="156"/>
    <col min="5377" max="5377" width="7.75" style="156" customWidth="1"/>
    <col min="5378" max="5378" width="9.875" style="156" customWidth="1"/>
    <col min="5379" max="5379" width="10.25" style="156" bestFit="1" customWidth="1"/>
    <col min="5380" max="5380" width="11" style="156" customWidth="1"/>
    <col min="5381" max="5381" width="11.375" style="156" customWidth="1"/>
    <col min="5382" max="5382" width="11" style="156" customWidth="1"/>
    <col min="5383" max="5383" width="9.75" style="156" customWidth="1"/>
    <col min="5384" max="5384" width="10.25" style="156" bestFit="1" customWidth="1"/>
    <col min="5385" max="5385" width="8.125" style="156" bestFit="1" customWidth="1"/>
    <col min="5386" max="5387" width="13.125" style="156" bestFit="1" customWidth="1"/>
    <col min="5388" max="5388" width="12.375" style="156" customWidth="1"/>
    <col min="5389" max="5389" width="13.125" style="156" bestFit="1" customWidth="1"/>
    <col min="5390" max="5390" width="12.625" style="156" bestFit="1" customWidth="1"/>
    <col min="5391" max="5391" width="5.5" style="156" customWidth="1"/>
    <col min="5392" max="5393" width="9" style="156"/>
    <col min="5394" max="5395" width="11.125" style="156" customWidth="1"/>
    <col min="5396" max="5396" width="12.5" style="156" bestFit="1" customWidth="1"/>
    <col min="5397" max="5632" width="9" style="156"/>
    <col min="5633" max="5633" width="7.75" style="156" customWidth="1"/>
    <col min="5634" max="5634" width="9.875" style="156" customWidth="1"/>
    <col min="5635" max="5635" width="10.25" style="156" bestFit="1" customWidth="1"/>
    <col min="5636" max="5636" width="11" style="156" customWidth="1"/>
    <col min="5637" max="5637" width="11.375" style="156" customWidth="1"/>
    <col min="5638" max="5638" width="11" style="156" customWidth="1"/>
    <col min="5639" max="5639" width="9.75" style="156" customWidth="1"/>
    <col min="5640" max="5640" width="10.25" style="156" bestFit="1" customWidth="1"/>
    <col min="5641" max="5641" width="8.125" style="156" bestFit="1" customWidth="1"/>
    <col min="5642" max="5643" width="13.125" style="156" bestFit="1" customWidth="1"/>
    <col min="5644" max="5644" width="12.375" style="156" customWidth="1"/>
    <col min="5645" max="5645" width="13.125" style="156" bestFit="1" customWidth="1"/>
    <col min="5646" max="5646" width="12.625" style="156" bestFit="1" customWidth="1"/>
    <col min="5647" max="5647" width="5.5" style="156" customWidth="1"/>
    <col min="5648" max="5649" width="9" style="156"/>
    <col min="5650" max="5651" width="11.125" style="156" customWidth="1"/>
    <col min="5652" max="5652" width="12.5" style="156" bestFit="1" customWidth="1"/>
    <col min="5653" max="5888" width="9" style="156"/>
    <col min="5889" max="5889" width="7.75" style="156" customWidth="1"/>
    <col min="5890" max="5890" width="9.875" style="156" customWidth="1"/>
    <col min="5891" max="5891" width="10.25" style="156" bestFit="1" customWidth="1"/>
    <col min="5892" max="5892" width="11" style="156" customWidth="1"/>
    <col min="5893" max="5893" width="11.375" style="156" customWidth="1"/>
    <col min="5894" max="5894" width="11" style="156" customWidth="1"/>
    <col min="5895" max="5895" width="9.75" style="156" customWidth="1"/>
    <col min="5896" max="5896" width="10.25" style="156" bestFit="1" customWidth="1"/>
    <col min="5897" max="5897" width="8.125" style="156" bestFit="1" customWidth="1"/>
    <col min="5898" max="5899" width="13.125" style="156" bestFit="1" customWidth="1"/>
    <col min="5900" max="5900" width="12.375" style="156" customWidth="1"/>
    <col min="5901" max="5901" width="13.125" style="156" bestFit="1" customWidth="1"/>
    <col min="5902" max="5902" width="12.625" style="156" bestFit="1" customWidth="1"/>
    <col min="5903" max="5903" width="5.5" style="156" customWidth="1"/>
    <col min="5904" max="5905" width="9" style="156"/>
    <col min="5906" max="5907" width="11.125" style="156" customWidth="1"/>
    <col min="5908" max="5908" width="12.5" style="156" bestFit="1" customWidth="1"/>
    <col min="5909" max="6144" width="9" style="156"/>
    <col min="6145" max="6145" width="7.75" style="156" customWidth="1"/>
    <col min="6146" max="6146" width="9.875" style="156" customWidth="1"/>
    <col min="6147" max="6147" width="10.25" style="156" bestFit="1" customWidth="1"/>
    <col min="6148" max="6148" width="11" style="156" customWidth="1"/>
    <col min="6149" max="6149" width="11.375" style="156" customWidth="1"/>
    <col min="6150" max="6150" width="11" style="156" customWidth="1"/>
    <col min="6151" max="6151" width="9.75" style="156" customWidth="1"/>
    <col min="6152" max="6152" width="10.25" style="156" bestFit="1" customWidth="1"/>
    <col min="6153" max="6153" width="8.125" style="156" bestFit="1" customWidth="1"/>
    <col min="6154" max="6155" width="13.125" style="156" bestFit="1" customWidth="1"/>
    <col min="6156" max="6156" width="12.375" style="156" customWidth="1"/>
    <col min="6157" max="6157" width="13.125" style="156" bestFit="1" customWidth="1"/>
    <col min="6158" max="6158" width="12.625" style="156" bestFit="1" customWidth="1"/>
    <col min="6159" max="6159" width="5.5" style="156" customWidth="1"/>
    <col min="6160" max="6161" width="9" style="156"/>
    <col min="6162" max="6163" width="11.125" style="156" customWidth="1"/>
    <col min="6164" max="6164" width="12.5" style="156" bestFit="1" customWidth="1"/>
    <col min="6165" max="6400" width="9" style="156"/>
    <col min="6401" max="6401" width="7.75" style="156" customWidth="1"/>
    <col min="6402" max="6402" width="9.875" style="156" customWidth="1"/>
    <col min="6403" max="6403" width="10.25" style="156" bestFit="1" customWidth="1"/>
    <col min="6404" max="6404" width="11" style="156" customWidth="1"/>
    <col min="6405" max="6405" width="11.375" style="156" customWidth="1"/>
    <col min="6406" max="6406" width="11" style="156" customWidth="1"/>
    <col min="6407" max="6407" width="9.75" style="156" customWidth="1"/>
    <col min="6408" max="6408" width="10.25" style="156" bestFit="1" customWidth="1"/>
    <col min="6409" max="6409" width="8.125" style="156" bestFit="1" customWidth="1"/>
    <col min="6410" max="6411" width="13.125" style="156" bestFit="1" customWidth="1"/>
    <col min="6412" max="6412" width="12.375" style="156" customWidth="1"/>
    <col min="6413" max="6413" width="13.125" style="156" bestFit="1" customWidth="1"/>
    <col min="6414" max="6414" width="12.625" style="156" bestFit="1" customWidth="1"/>
    <col min="6415" max="6415" width="5.5" style="156" customWidth="1"/>
    <col min="6416" max="6417" width="9" style="156"/>
    <col min="6418" max="6419" width="11.125" style="156" customWidth="1"/>
    <col min="6420" max="6420" width="12.5" style="156" bestFit="1" customWidth="1"/>
    <col min="6421" max="6656" width="9" style="156"/>
    <col min="6657" max="6657" width="7.75" style="156" customWidth="1"/>
    <col min="6658" max="6658" width="9.875" style="156" customWidth="1"/>
    <col min="6659" max="6659" width="10.25" style="156" bestFit="1" customWidth="1"/>
    <col min="6660" max="6660" width="11" style="156" customWidth="1"/>
    <col min="6661" max="6661" width="11.375" style="156" customWidth="1"/>
    <col min="6662" max="6662" width="11" style="156" customWidth="1"/>
    <col min="6663" max="6663" width="9.75" style="156" customWidth="1"/>
    <col min="6664" max="6664" width="10.25" style="156" bestFit="1" customWidth="1"/>
    <col min="6665" max="6665" width="8.125" style="156" bestFit="1" customWidth="1"/>
    <col min="6666" max="6667" width="13.125" style="156" bestFit="1" customWidth="1"/>
    <col min="6668" max="6668" width="12.375" style="156" customWidth="1"/>
    <col min="6669" max="6669" width="13.125" style="156" bestFit="1" customWidth="1"/>
    <col min="6670" max="6670" width="12.625" style="156" bestFit="1" customWidth="1"/>
    <col min="6671" max="6671" width="5.5" style="156" customWidth="1"/>
    <col min="6672" max="6673" width="9" style="156"/>
    <col min="6674" max="6675" width="11.125" style="156" customWidth="1"/>
    <col min="6676" max="6676" width="12.5" style="156" bestFit="1" customWidth="1"/>
    <col min="6677" max="6912" width="9" style="156"/>
    <col min="6913" max="6913" width="7.75" style="156" customWidth="1"/>
    <col min="6914" max="6914" width="9.875" style="156" customWidth="1"/>
    <col min="6915" max="6915" width="10.25" style="156" bestFit="1" customWidth="1"/>
    <col min="6916" max="6916" width="11" style="156" customWidth="1"/>
    <col min="6917" max="6917" width="11.375" style="156" customWidth="1"/>
    <col min="6918" max="6918" width="11" style="156" customWidth="1"/>
    <col min="6919" max="6919" width="9.75" style="156" customWidth="1"/>
    <col min="6920" max="6920" width="10.25" style="156" bestFit="1" customWidth="1"/>
    <col min="6921" max="6921" width="8.125" style="156" bestFit="1" customWidth="1"/>
    <col min="6922" max="6923" width="13.125" style="156" bestFit="1" customWidth="1"/>
    <col min="6924" max="6924" width="12.375" style="156" customWidth="1"/>
    <col min="6925" max="6925" width="13.125" style="156" bestFit="1" customWidth="1"/>
    <col min="6926" max="6926" width="12.625" style="156" bestFit="1" customWidth="1"/>
    <col min="6927" max="6927" width="5.5" style="156" customWidth="1"/>
    <col min="6928" max="6929" width="9" style="156"/>
    <col min="6930" max="6931" width="11.125" style="156" customWidth="1"/>
    <col min="6932" max="6932" width="12.5" style="156" bestFit="1" customWidth="1"/>
    <col min="6933" max="7168" width="9" style="156"/>
    <col min="7169" max="7169" width="7.75" style="156" customWidth="1"/>
    <col min="7170" max="7170" width="9.875" style="156" customWidth="1"/>
    <col min="7171" max="7171" width="10.25" style="156" bestFit="1" customWidth="1"/>
    <col min="7172" max="7172" width="11" style="156" customWidth="1"/>
    <col min="7173" max="7173" width="11.375" style="156" customWidth="1"/>
    <col min="7174" max="7174" width="11" style="156" customWidth="1"/>
    <col min="7175" max="7175" width="9.75" style="156" customWidth="1"/>
    <col min="7176" max="7176" width="10.25" style="156" bestFit="1" customWidth="1"/>
    <col min="7177" max="7177" width="8.125" style="156" bestFit="1" customWidth="1"/>
    <col min="7178" max="7179" width="13.125" style="156" bestFit="1" customWidth="1"/>
    <col min="7180" max="7180" width="12.375" style="156" customWidth="1"/>
    <col min="7181" max="7181" width="13.125" style="156" bestFit="1" customWidth="1"/>
    <col min="7182" max="7182" width="12.625" style="156" bestFit="1" customWidth="1"/>
    <col min="7183" max="7183" width="5.5" style="156" customWidth="1"/>
    <col min="7184" max="7185" width="9" style="156"/>
    <col min="7186" max="7187" width="11.125" style="156" customWidth="1"/>
    <col min="7188" max="7188" width="12.5" style="156" bestFit="1" customWidth="1"/>
    <col min="7189" max="7424" width="9" style="156"/>
    <col min="7425" max="7425" width="7.75" style="156" customWidth="1"/>
    <col min="7426" max="7426" width="9.875" style="156" customWidth="1"/>
    <col min="7427" max="7427" width="10.25" style="156" bestFit="1" customWidth="1"/>
    <col min="7428" max="7428" width="11" style="156" customWidth="1"/>
    <col min="7429" max="7429" width="11.375" style="156" customWidth="1"/>
    <col min="7430" max="7430" width="11" style="156" customWidth="1"/>
    <col min="7431" max="7431" width="9.75" style="156" customWidth="1"/>
    <col min="7432" max="7432" width="10.25" style="156" bestFit="1" customWidth="1"/>
    <col min="7433" max="7433" width="8.125" style="156" bestFit="1" customWidth="1"/>
    <col min="7434" max="7435" width="13.125" style="156" bestFit="1" customWidth="1"/>
    <col min="7436" max="7436" width="12.375" style="156" customWidth="1"/>
    <col min="7437" max="7437" width="13.125" style="156" bestFit="1" customWidth="1"/>
    <col min="7438" max="7438" width="12.625" style="156" bestFit="1" customWidth="1"/>
    <col min="7439" max="7439" width="5.5" style="156" customWidth="1"/>
    <col min="7440" max="7441" width="9" style="156"/>
    <col min="7442" max="7443" width="11.125" style="156" customWidth="1"/>
    <col min="7444" max="7444" width="12.5" style="156" bestFit="1" customWidth="1"/>
    <col min="7445" max="7680" width="9" style="156"/>
    <col min="7681" max="7681" width="7.75" style="156" customWidth="1"/>
    <col min="7682" max="7682" width="9.875" style="156" customWidth="1"/>
    <col min="7683" max="7683" width="10.25" style="156" bestFit="1" customWidth="1"/>
    <col min="7684" max="7684" width="11" style="156" customWidth="1"/>
    <col min="7685" max="7685" width="11.375" style="156" customWidth="1"/>
    <col min="7686" max="7686" width="11" style="156" customWidth="1"/>
    <col min="7687" max="7687" width="9.75" style="156" customWidth="1"/>
    <col min="7688" max="7688" width="10.25" style="156" bestFit="1" customWidth="1"/>
    <col min="7689" max="7689" width="8.125" style="156" bestFit="1" customWidth="1"/>
    <col min="7690" max="7691" width="13.125" style="156" bestFit="1" customWidth="1"/>
    <col min="7692" max="7692" width="12.375" style="156" customWidth="1"/>
    <col min="7693" max="7693" width="13.125" style="156" bestFit="1" customWidth="1"/>
    <col min="7694" max="7694" width="12.625" style="156" bestFit="1" customWidth="1"/>
    <col min="7695" max="7695" width="5.5" style="156" customWidth="1"/>
    <col min="7696" max="7697" width="9" style="156"/>
    <col min="7698" max="7699" width="11.125" style="156" customWidth="1"/>
    <col min="7700" max="7700" width="12.5" style="156" bestFit="1" customWidth="1"/>
    <col min="7701" max="7936" width="9" style="156"/>
    <col min="7937" max="7937" width="7.75" style="156" customWidth="1"/>
    <col min="7938" max="7938" width="9.875" style="156" customWidth="1"/>
    <col min="7939" max="7939" width="10.25" style="156" bestFit="1" customWidth="1"/>
    <col min="7940" max="7940" width="11" style="156" customWidth="1"/>
    <col min="7941" max="7941" width="11.375" style="156" customWidth="1"/>
    <col min="7942" max="7942" width="11" style="156" customWidth="1"/>
    <col min="7943" max="7943" width="9.75" style="156" customWidth="1"/>
    <col min="7944" max="7944" width="10.25" style="156" bestFit="1" customWidth="1"/>
    <col min="7945" max="7945" width="8.125" style="156" bestFit="1" customWidth="1"/>
    <col min="7946" max="7947" width="13.125" style="156" bestFit="1" customWidth="1"/>
    <col min="7948" max="7948" width="12.375" style="156" customWidth="1"/>
    <col min="7949" max="7949" width="13.125" style="156" bestFit="1" customWidth="1"/>
    <col min="7950" max="7950" width="12.625" style="156" bestFit="1" customWidth="1"/>
    <col min="7951" max="7951" width="5.5" style="156" customWidth="1"/>
    <col min="7952" max="7953" width="9" style="156"/>
    <col min="7954" max="7955" width="11.125" style="156" customWidth="1"/>
    <col min="7956" max="7956" width="12.5" style="156" bestFit="1" customWidth="1"/>
    <col min="7957" max="8192" width="9" style="156"/>
    <col min="8193" max="8193" width="7.75" style="156" customWidth="1"/>
    <col min="8194" max="8194" width="9.875" style="156" customWidth="1"/>
    <col min="8195" max="8195" width="10.25" style="156" bestFit="1" customWidth="1"/>
    <col min="8196" max="8196" width="11" style="156" customWidth="1"/>
    <col min="8197" max="8197" width="11.375" style="156" customWidth="1"/>
    <col min="8198" max="8198" width="11" style="156" customWidth="1"/>
    <col min="8199" max="8199" width="9.75" style="156" customWidth="1"/>
    <col min="8200" max="8200" width="10.25" style="156" bestFit="1" customWidth="1"/>
    <col min="8201" max="8201" width="8.125" style="156" bestFit="1" customWidth="1"/>
    <col min="8202" max="8203" width="13.125" style="156" bestFit="1" customWidth="1"/>
    <col min="8204" max="8204" width="12.375" style="156" customWidth="1"/>
    <col min="8205" max="8205" width="13.125" style="156" bestFit="1" customWidth="1"/>
    <col min="8206" max="8206" width="12.625" style="156" bestFit="1" customWidth="1"/>
    <col min="8207" max="8207" width="5.5" style="156" customWidth="1"/>
    <col min="8208" max="8209" width="9" style="156"/>
    <col min="8210" max="8211" width="11.125" style="156" customWidth="1"/>
    <col min="8212" max="8212" width="12.5" style="156" bestFit="1" customWidth="1"/>
    <col min="8213" max="8448" width="9" style="156"/>
    <col min="8449" max="8449" width="7.75" style="156" customWidth="1"/>
    <col min="8450" max="8450" width="9.875" style="156" customWidth="1"/>
    <col min="8451" max="8451" width="10.25" style="156" bestFit="1" customWidth="1"/>
    <col min="8452" max="8452" width="11" style="156" customWidth="1"/>
    <col min="8453" max="8453" width="11.375" style="156" customWidth="1"/>
    <col min="8454" max="8454" width="11" style="156" customWidth="1"/>
    <col min="8455" max="8455" width="9.75" style="156" customWidth="1"/>
    <col min="8456" max="8456" width="10.25" style="156" bestFit="1" customWidth="1"/>
    <col min="8457" max="8457" width="8.125" style="156" bestFit="1" customWidth="1"/>
    <col min="8458" max="8459" width="13.125" style="156" bestFit="1" customWidth="1"/>
    <col min="8460" max="8460" width="12.375" style="156" customWidth="1"/>
    <col min="8461" max="8461" width="13.125" style="156" bestFit="1" customWidth="1"/>
    <col min="8462" max="8462" width="12.625" style="156" bestFit="1" customWidth="1"/>
    <col min="8463" max="8463" width="5.5" style="156" customWidth="1"/>
    <col min="8464" max="8465" width="9" style="156"/>
    <col min="8466" max="8467" width="11.125" style="156" customWidth="1"/>
    <col min="8468" max="8468" width="12.5" style="156" bestFit="1" customWidth="1"/>
    <col min="8469" max="8704" width="9" style="156"/>
    <col min="8705" max="8705" width="7.75" style="156" customWidth="1"/>
    <col min="8706" max="8706" width="9.875" style="156" customWidth="1"/>
    <col min="8707" max="8707" width="10.25" style="156" bestFit="1" customWidth="1"/>
    <col min="8708" max="8708" width="11" style="156" customWidth="1"/>
    <col min="8709" max="8709" width="11.375" style="156" customWidth="1"/>
    <col min="8710" max="8710" width="11" style="156" customWidth="1"/>
    <col min="8711" max="8711" width="9.75" style="156" customWidth="1"/>
    <col min="8712" max="8712" width="10.25" style="156" bestFit="1" customWidth="1"/>
    <col min="8713" max="8713" width="8.125" style="156" bestFit="1" customWidth="1"/>
    <col min="8714" max="8715" width="13.125" style="156" bestFit="1" customWidth="1"/>
    <col min="8716" max="8716" width="12.375" style="156" customWidth="1"/>
    <col min="8717" max="8717" width="13.125" style="156" bestFit="1" customWidth="1"/>
    <col min="8718" max="8718" width="12.625" style="156" bestFit="1" customWidth="1"/>
    <col min="8719" max="8719" width="5.5" style="156" customWidth="1"/>
    <col min="8720" max="8721" width="9" style="156"/>
    <col min="8722" max="8723" width="11.125" style="156" customWidth="1"/>
    <col min="8724" max="8724" width="12.5" style="156" bestFit="1" customWidth="1"/>
    <col min="8725" max="8960" width="9" style="156"/>
    <col min="8961" max="8961" width="7.75" style="156" customWidth="1"/>
    <col min="8962" max="8962" width="9.875" style="156" customWidth="1"/>
    <col min="8963" max="8963" width="10.25" style="156" bestFit="1" customWidth="1"/>
    <col min="8964" max="8964" width="11" style="156" customWidth="1"/>
    <col min="8965" max="8965" width="11.375" style="156" customWidth="1"/>
    <col min="8966" max="8966" width="11" style="156" customWidth="1"/>
    <col min="8967" max="8967" width="9.75" style="156" customWidth="1"/>
    <col min="8968" max="8968" width="10.25" style="156" bestFit="1" customWidth="1"/>
    <col min="8969" max="8969" width="8.125" style="156" bestFit="1" customWidth="1"/>
    <col min="8970" max="8971" width="13.125" style="156" bestFit="1" customWidth="1"/>
    <col min="8972" max="8972" width="12.375" style="156" customWidth="1"/>
    <col min="8973" max="8973" width="13.125" style="156" bestFit="1" customWidth="1"/>
    <col min="8974" max="8974" width="12.625" style="156" bestFit="1" customWidth="1"/>
    <col min="8975" max="8975" width="5.5" style="156" customWidth="1"/>
    <col min="8976" max="8977" width="9" style="156"/>
    <col min="8978" max="8979" width="11.125" style="156" customWidth="1"/>
    <col min="8980" max="8980" width="12.5" style="156" bestFit="1" customWidth="1"/>
    <col min="8981" max="9216" width="9" style="156"/>
    <col min="9217" max="9217" width="7.75" style="156" customWidth="1"/>
    <col min="9218" max="9218" width="9.875" style="156" customWidth="1"/>
    <col min="9219" max="9219" width="10.25" style="156" bestFit="1" customWidth="1"/>
    <col min="9220" max="9220" width="11" style="156" customWidth="1"/>
    <col min="9221" max="9221" width="11.375" style="156" customWidth="1"/>
    <col min="9222" max="9222" width="11" style="156" customWidth="1"/>
    <col min="9223" max="9223" width="9.75" style="156" customWidth="1"/>
    <col min="9224" max="9224" width="10.25" style="156" bestFit="1" customWidth="1"/>
    <col min="9225" max="9225" width="8.125" style="156" bestFit="1" customWidth="1"/>
    <col min="9226" max="9227" width="13.125" style="156" bestFit="1" customWidth="1"/>
    <col min="9228" max="9228" width="12.375" style="156" customWidth="1"/>
    <col min="9229" max="9229" width="13.125" style="156" bestFit="1" customWidth="1"/>
    <col min="9230" max="9230" width="12.625" style="156" bestFit="1" customWidth="1"/>
    <col min="9231" max="9231" width="5.5" style="156" customWidth="1"/>
    <col min="9232" max="9233" width="9" style="156"/>
    <col min="9234" max="9235" width="11.125" style="156" customWidth="1"/>
    <col min="9236" max="9236" width="12.5" style="156" bestFit="1" customWidth="1"/>
    <col min="9237" max="9472" width="9" style="156"/>
    <col min="9473" max="9473" width="7.75" style="156" customWidth="1"/>
    <col min="9474" max="9474" width="9.875" style="156" customWidth="1"/>
    <col min="9475" max="9475" width="10.25" style="156" bestFit="1" customWidth="1"/>
    <col min="9476" max="9476" width="11" style="156" customWidth="1"/>
    <col min="9477" max="9477" width="11.375" style="156" customWidth="1"/>
    <col min="9478" max="9478" width="11" style="156" customWidth="1"/>
    <col min="9479" max="9479" width="9.75" style="156" customWidth="1"/>
    <col min="9480" max="9480" width="10.25" style="156" bestFit="1" customWidth="1"/>
    <col min="9481" max="9481" width="8.125" style="156" bestFit="1" customWidth="1"/>
    <col min="9482" max="9483" width="13.125" style="156" bestFit="1" customWidth="1"/>
    <col min="9484" max="9484" width="12.375" style="156" customWidth="1"/>
    <col min="9485" max="9485" width="13.125" style="156" bestFit="1" customWidth="1"/>
    <col min="9486" max="9486" width="12.625" style="156" bestFit="1" customWidth="1"/>
    <col min="9487" max="9487" width="5.5" style="156" customWidth="1"/>
    <col min="9488" max="9489" width="9" style="156"/>
    <col min="9490" max="9491" width="11.125" style="156" customWidth="1"/>
    <col min="9492" max="9492" width="12.5" style="156" bestFit="1" customWidth="1"/>
    <col min="9493" max="9728" width="9" style="156"/>
    <col min="9729" max="9729" width="7.75" style="156" customWidth="1"/>
    <col min="9730" max="9730" width="9.875" style="156" customWidth="1"/>
    <col min="9731" max="9731" width="10.25" style="156" bestFit="1" customWidth="1"/>
    <col min="9732" max="9732" width="11" style="156" customWidth="1"/>
    <col min="9733" max="9733" width="11.375" style="156" customWidth="1"/>
    <col min="9734" max="9734" width="11" style="156" customWidth="1"/>
    <col min="9735" max="9735" width="9.75" style="156" customWidth="1"/>
    <col min="9736" max="9736" width="10.25" style="156" bestFit="1" customWidth="1"/>
    <col min="9737" max="9737" width="8.125" style="156" bestFit="1" customWidth="1"/>
    <col min="9738" max="9739" width="13.125" style="156" bestFit="1" customWidth="1"/>
    <col min="9740" max="9740" width="12.375" style="156" customWidth="1"/>
    <col min="9741" max="9741" width="13.125" style="156" bestFit="1" customWidth="1"/>
    <col min="9742" max="9742" width="12.625" style="156" bestFit="1" customWidth="1"/>
    <col min="9743" max="9743" width="5.5" style="156" customWidth="1"/>
    <col min="9744" max="9745" width="9" style="156"/>
    <col min="9746" max="9747" width="11.125" style="156" customWidth="1"/>
    <col min="9748" max="9748" width="12.5" style="156" bestFit="1" customWidth="1"/>
    <col min="9749" max="9984" width="9" style="156"/>
    <col min="9985" max="9985" width="7.75" style="156" customWidth="1"/>
    <col min="9986" max="9986" width="9.875" style="156" customWidth="1"/>
    <col min="9987" max="9987" width="10.25" style="156" bestFit="1" customWidth="1"/>
    <col min="9988" max="9988" width="11" style="156" customWidth="1"/>
    <col min="9989" max="9989" width="11.375" style="156" customWidth="1"/>
    <col min="9990" max="9990" width="11" style="156" customWidth="1"/>
    <col min="9991" max="9991" width="9.75" style="156" customWidth="1"/>
    <col min="9992" max="9992" width="10.25" style="156" bestFit="1" customWidth="1"/>
    <col min="9993" max="9993" width="8.125" style="156" bestFit="1" customWidth="1"/>
    <col min="9994" max="9995" width="13.125" style="156" bestFit="1" customWidth="1"/>
    <col min="9996" max="9996" width="12.375" style="156" customWidth="1"/>
    <col min="9997" max="9997" width="13.125" style="156" bestFit="1" customWidth="1"/>
    <col min="9998" max="9998" width="12.625" style="156" bestFit="1" customWidth="1"/>
    <col min="9999" max="9999" width="5.5" style="156" customWidth="1"/>
    <col min="10000" max="10001" width="9" style="156"/>
    <col min="10002" max="10003" width="11.125" style="156" customWidth="1"/>
    <col min="10004" max="10004" width="12.5" style="156" bestFit="1" customWidth="1"/>
    <col min="10005" max="10240" width="9" style="156"/>
    <col min="10241" max="10241" width="7.75" style="156" customWidth="1"/>
    <col min="10242" max="10242" width="9.875" style="156" customWidth="1"/>
    <col min="10243" max="10243" width="10.25" style="156" bestFit="1" customWidth="1"/>
    <col min="10244" max="10244" width="11" style="156" customWidth="1"/>
    <col min="10245" max="10245" width="11.375" style="156" customWidth="1"/>
    <col min="10246" max="10246" width="11" style="156" customWidth="1"/>
    <col min="10247" max="10247" width="9.75" style="156" customWidth="1"/>
    <col min="10248" max="10248" width="10.25" style="156" bestFit="1" customWidth="1"/>
    <col min="10249" max="10249" width="8.125" style="156" bestFit="1" customWidth="1"/>
    <col min="10250" max="10251" width="13.125" style="156" bestFit="1" customWidth="1"/>
    <col min="10252" max="10252" width="12.375" style="156" customWidth="1"/>
    <col min="10253" max="10253" width="13.125" style="156" bestFit="1" customWidth="1"/>
    <col min="10254" max="10254" width="12.625" style="156" bestFit="1" customWidth="1"/>
    <col min="10255" max="10255" width="5.5" style="156" customWidth="1"/>
    <col min="10256" max="10257" width="9" style="156"/>
    <col min="10258" max="10259" width="11.125" style="156" customWidth="1"/>
    <col min="10260" max="10260" width="12.5" style="156" bestFit="1" customWidth="1"/>
    <col min="10261" max="10496" width="9" style="156"/>
    <col min="10497" max="10497" width="7.75" style="156" customWidth="1"/>
    <col min="10498" max="10498" width="9.875" style="156" customWidth="1"/>
    <col min="10499" max="10499" width="10.25" style="156" bestFit="1" customWidth="1"/>
    <col min="10500" max="10500" width="11" style="156" customWidth="1"/>
    <col min="10501" max="10501" width="11.375" style="156" customWidth="1"/>
    <col min="10502" max="10502" width="11" style="156" customWidth="1"/>
    <col min="10503" max="10503" width="9.75" style="156" customWidth="1"/>
    <col min="10504" max="10504" width="10.25" style="156" bestFit="1" customWidth="1"/>
    <col min="10505" max="10505" width="8.125" style="156" bestFit="1" customWidth="1"/>
    <col min="10506" max="10507" width="13.125" style="156" bestFit="1" customWidth="1"/>
    <col min="10508" max="10508" width="12.375" style="156" customWidth="1"/>
    <col min="10509" max="10509" width="13.125" style="156" bestFit="1" customWidth="1"/>
    <col min="10510" max="10510" width="12.625" style="156" bestFit="1" customWidth="1"/>
    <col min="10511" max="10511" width="5.5" style="156" customWidth="1"/>
    <col min="10512" max="10513" width="9" style="156"/>
    <col min="10514" max="10515" width="11.125" style="156" customWidth="1"/>
    <col min="10516" max="10516" width="12.5" style="156" bestFit="1" customWidth="1"/>
    <col min="10517" max="10752" width="9" style="156"/>
    <col min="10753" max="10753" width="7.75" style="156" customWidth="1"/>
    <col min="10754" max="10754" width="9.875" style="156" customWidth="1"/>
    <col min="10755" max="10755" width="10.25" style="156" bestFit="1" customWidth="1"/>
    <col min="10756" max="10756" width="11" style="156" customWidth="1"/>
    <col min="10757" max="10757" width="11.375" style="156" customWidth="1"/>
    <col min="10758" max="10758" width="11" style="156" customWidth="1"/>
    <col min="10759" max="10759" width="9.75" style="156" customWidth="1"/>
    <col min="10760" max="10760" width="10.25" style="156" bestFit="1" customWidth="1"/>
    <col min="10761" max="10761" width="8.125" style="156" bestFit="1" customWidth="1"/>
    <col min="10762" max="10763" width="13.125" style="156" bestFit="1" customWidth="1"/>
    <col min="10764" max="10764" width="12.375" style="156" customWidth="1"/>
    <col min="10765" max="10765" width="13.125" style="156" bestFit="1" customWidth="1"/>
    <col min="10766" max="10766" width="12.625" style="156" bestFit="1" customWidth="1"/>
    <col min="10767" max="10767" width="5.5" style="156" customWidth="1"/>
    <col min="10768" max="10769" width="9" style="156"/>
    <col min="10770" max="10771" width="11.125" style="156" customWidth="1"/>
    <col min="10772" max="10772" width="12.5" style="156" bestFit="1" customWidth="1"/>
    <col min="10773" max="11008" width="9" style="156"/>
    <col min="11009" max="11009" width="7.75" style="156" customWidth="1"/>
    <col min="11010" max="11010" width="9.875" style="156" customWidth="1"/>
    <col min="11011" max="11011" width="10.25" style="156" bestFit="1" customWidth="1"/>
    <col min="11012" max="11012" width="11" style="156" customWidth="1"/>
    <col min="11013" max="11013" width="11.375" style="156" customWidth="1"/>
    <col min="11014" max="11014" width="11" style="156" customWidth="1"/>
    <col min="11015" max="11015" width="9.75" style="156" customWidth="1"/>
    <col min="11016" max="11016" width="10.25" style="156" bestFit="1" customWidth="1"/>
    <col min="11017" max="11017" width="8.125" style="156" bestFit="1" customWidth="1"/>
    <col min="11018" max="11019" width="13.125" style="156" bestFit="1" customWidth="1"/>
    <col min="11020" max="11020" width="12.375" style="156" customWidth="1"/>
    <col min="11021" max="11021" width="13.125" style="156" bestFit="1" customWidth="1"/>
    <col min="11022" max="11022" width="12.625" style="156" bestFit="1" customWidth="1"/>
    <col min="11023" max="11023" width="5.5" style="156" customWidth="1"/>
    <col min="11024" max="11025" width="9" style="156"/>
    <col min="11026" max="11027" width="11.125" style="156" customWidth="1"/>
    <col min="11028" max="11028" width="12.5" style="156" bestFit="1" customWidth="1"/>
    <col min="11029" max="11264" width="9" style="156"/>
    <col min="11265" max="11265" width="7.75" style="156" customWidth="1"/>
    <col min="11266" max="11266" width="9.875" style="156" customWidth="1"/>
    <col min="11267" max="11267" width="10.25" style="156" bestFit="1" customWidth="1"/>
    <col min="11268" max="11268" width="11" style="156" customWidth="1"/>
    <col min="11269" max="11269" width="11.375" style="156" customWidth="1"/>
    <col min="11270" max="11270" width="11" style="156" customWidth="1"/>
    <col min="11271" max="11271" width="9.75" style="156" customWidth="1"/>
    <col min="11272" max="11272" width="10.25" style="156" bestFit="1" customWidth="1"/>
    <col min="11273" max="11273" width="8.125" style="156" bestFit="1" customWidth="1"/>
    <col min="11274" max="11275" width="13.125" style="156" bestFit="1" customWidth="1"/>
    <col min="11276" max="11276" width="12.375" style="156" customWidth="1"/>
    <col min="11277" max="11277" width="13.125" style="156" bestFit="1" customWidth="1"/>
    <col min="11278" max="11278" width="12.625" style="156" bestFit="1" customWidth="1"/>
    <col min="11279" max="11279" width="5.5" style="156" customWidth="1"/>
    <col min="11280" max="11281" width="9" style="156"/>
    <col min="11282" max="11283" width="11.125" style="156" customWidth="1"/>
    <col min="11284" max="11284" width="12.5" style="156" bestFit="1" customWidth="1"/>
    <col min="11285" max="11520" width="9" style="156"/>
    <col min="11521" max="11521" width="7.75" style="156" customWidth="1"/>
    <col min="11522" max="11522" width="9.875" style="156" customWidth="1"/>
    <col min="11523" max="11523" width="10.25" style="156" bestFit="1" customWidth="1"/>
    <col min="11524" max="11524" width="11" style="156" customWidth="1"/>
    <col min="11525" max="11525" width="11.375" style="156" customWidth="1"/>
    <col min="11526" max="11526" width="11" style="156" customWidth="1"/>
    <col min="11527" max="11527" width="9.75" style="156" customWidth="1"/>
    <col min="11528" max="11528" width="10.25" style="156" bestFit="1" customWidth="1"/>
    <col min="11529" max="11529" width="8.125" style="156" bestFit="1" customWidth="1"/>
    <col min="11530" max="11531" width="13.125" style="156" bestFit="1" customWidth="1"/>
    <col min="11532" max="11532" width="12.375" style="156" customWidth="1"/>
    <col min="11533" max="11533" width="13.125" style="156" bestFit="1" customWidth="1"/>
    <col min="11534" max="11534" width="12.625" style="156" bestFit="1" customWidth="1"/>
    <col min="11535" max="11535" width="5.5" style="156" customWidth="1"/>
    <col min="11536" max="11537" width="9" style="156"/>
    <col min="11538" max="11539" width="11.125" style="156" customWidth="1"/>
    <col min="11540" max="11540" width="12.5" style="156" bestFit="1" customWidth="1"/>
    <col min="11541" max="11776" width="9" style="156"/>
    <col min="11777" max="11777" width="7.75" style="156" customWidth="1"/>
    <col min="11778" max="11778" width="9.875" style="156" customWidth="1"/>
    <col min="11779" max="11779" width="10.25" style="156" bestFit="1" customWidth="1"/>
    <col min="11780" max="11780" width="11" style="156" customWidth="1"/>
    <col min="11781" max="11781" width="11.375" style="156" customWidth="1"/>
    <col min="11782" max="11782" width="11" style="156" customWidth="1"/>
    <col min="11783" max="11783" width="9.75" style="156" customWidth="1"/>
    <col min="11784" max="11784" width="10.25" style="156" bestFit="1" customWidth="1"/>
    <col min="11785" max="11785" width="8.125" style="156" bestFit="1" customWidth="1"/>
    <col min="11786" max="11787" width="13.125" style="156" bestFit="1" customWidth="1"/>
    <col min="11788" max="11788" width="12.375" style="156" customWidth="1"/>
    <col min="11789" max="11789" width="13.125" style="156" bestFit="1" customWidth="1"/>
    <col min="11790" max="11790" width="12.625" style="156" bestFit="1" customWidth="1"/>
    <col min="11791" max="11791" width="5.5" style="156" customWidth="1"/>
    <col min="11792" max="11793" width="9" style="156"/>
    <col min="11794" max="11795" width="11.125" style="156" customWidth="1"/>
    <col min="11796" max="11796" width="12.5" style="156" bestFit="1" customWidth="1"/>
    <col min="11797" max="12032" width="9" style="156"/>
    <col min="12033" max="12033" width="7.75" style="156" customWidth="1"/>
    <col min="12034" max="12034" width="9.875" style="156" customWidth="1"/>
    <col min="12035" max="12035" width="10.25" style="156" bestFit="1" customWidth="1"/>
    <col min="12036" max="12036" width="11" style="156" customWidth="1"/>
    <col min="12037" max="12037" width="11.375" style="156" customWidth="1"/>
    <col min="12038" max="12038" width="11" style="156" customWidth="1"/>
    <col min="12039" max="12039" width="9.75" style="156" customWidth="1"/>
    <col min="12040" max="12040" width="10.25" style="156" bestFit="1" customWidth="1"/>
    <col min="12041" max="12041" width="8.125" style="156" bestFit="1" customWidth="1"/>
    <col min="12042" max="12043" width="13.125" style="156" bestFit="1" customWidth="1"/>
    <col min="12044" max="12044" width="12.375" style="156" customWidth="1"/>
    <col min="12045" max="12045" width="13.125" style="156" bestFit="1" customWidth="1"/>
    <col min="12046" max="12046" width="12.625" style="156" bestFit="1" customWidth="1"/>
    <col min="12047" max="12047" width="5.5" style="156" customWidth="1"/>
    <col min="12048" max="12049" width="9" style="156"/>
    <col min="12050" max="12051" width="11.125" style="156" customWidth="1"/>
    <col min="12052" max="12052" width="12.5" style="156" bestFit="1" customWidth="1"/>
    <col min="12053" max="12288" width="9" style="156"/>
    <col min="12289" max="12289" width="7.75" style="156" customWidth="1"/>
    <col min="12290" max="12290" width="9.875" style="156" customWidth="1"/>
    <col min="12291" max="12291" width="10.25" style="156" bestFit="1" customWidth="1"/>
    <col min="12292" max="12292" width="11" style="156" customWidth="1"/>
    <col min="12293" max="12293" width="11.375" style="156" customWidth="1"/>
    <col min="12294" max="12294" width="11" style="156" customWidth="1"/>
    <col min="12295" max="12295" width="9.75" style="156" customWidth="1"/>
    <col min="12296" max="12296" width="10.25" style="156" bestFit="1" customWidth="1"/>
    <col min="12297" max="12297" width="8.125" style="156" bestFit="1" customWidth="1"/>
    <col min="12298" max="12299" width="13.125" style="156" bestFit="1" customWidth="1"/>
    <col min="12300" max="12300" width="12.375" style="156" customWidth="1"/>
    <col min="12301" max="12301" width="13.125" style="156" bestFit="1" customWidth="1"/>
    <col min="12302" max="12302" width="12.625" style="156" bestFit="1" customWidth="1"/>
    <col min="12303" max="12303" width="5.5" style="156" customWidth="1"/>
    <col min="12304" max="12305" width="9" style="156"/>
    <col min="12306" max="12307" width="11.125" style="156" customWidth="1"/>
    <col min="12308" max="12308" width="12.5" style="156" bestFit="1" customWidth="1"/>
    <col min="12309" max="12544" width="9" style="156"/>
    <col min="12545" max="12545" width="7.75" style="156" customWidth="1"/>
    <col min="12546" max="12546" width="9.875" style="156" customWidth="1"/>
    <col min="12547" max="12547" width="10.25" style="156" bestFit="1" customWidth="1"/>
    <col min="12548" max="12548" width="11" style="156" customWidth="1"/>
    <col min="12549" max="12549" width="11.375" style="156" customWidth="1"/>
    <col min="12550" max="12550" width="11" style="156" customWidth="1"/>
    <col min="12551" max="12551" width="9.75" style="156" customWidth="1"/>
    <col min="12552" max="12552" width="10.25" style="156" bestFit="1" customWidth="1"/>
    <col min="12553" max="12553" width="8.125" style="156" bestFit="1" customWidth="1"/>
    <col min="12554" max="12555" width="13.125" style="156" bestFit="1" customWidth="1"/>
    <col min="12556" max="12556" width="12.375" style="156" customWidth="1"/>
    <col min="12557" max="12557" width="13.125" style="156" bestFit="1" customWidth="1"/>
    <col min="12558" max="12558" width="12.625" style="156" bestFit="1" customWidth="1"/>
    <col min="12559" max="12559" width="5.5" style="156" customWidth="1"/>
    <col min="12560" max="12561" width="9" style="156"/>
    <col min="12562" max="12563" width="11.125" style="156" customWidth="1"/>
    <col min="12564" max="12564" width="12.5" style="156" bestFit="1" customWidth="1"/>
    <col min="12565" max="12800" width="9" style="156"/>
    <col min="12801" max="12801" width="7.75" style="156" customWidth="1"/>
    <col min="12802" max="12802" width="9.875" style="156" customWidth="1"/>
    <col min="12803" max="12803" width="10.25" style="156" bestFit="1" customWidth="1"/>
    <col min="12804" max="12804" width="11" style="156" customWidth="1"/>
    <col min="12805" max="12805" width="11.375" style="156" customWidth="1"/>
    <col min="12806" max="12806" width="11" style="156" customWidth="1"/>
    <col min="12807" max="12807" width="9.75" style="156" customWidth="1"/>
    <col min="12808" max="12808" width="10.25" style="156" bestFit="1" customWidth="1"/>
    <col min="12809" max="12809" width="8.125" style="156" bestFit="1" customWidth="1"/>
    <col min="12810" max="12811" width="13.125" style="156" bestFit="1" customWidth="1"/>
    <col min="12812" max="12812" width="12.375" style="156" customWidth="1"/>
    <col min="12813" max="12813" width="13.125" style="156" bestFit="1" customWidth="1"/>
    <col min="12814" max="12814" width="12.625" style="156" bestFit="1" customWidth="1"/>
    <col min="12815" max="12815" width="5.5" style="156" customWidth="1"/>
    <col min="12816" max="12817" width="9" style="156"/>
    <col min="12818" max="12819" width="11.125" style="156" customWidth="1"/>
    <col min="12820" max="12820" width="12.5" style="156" bestFit="1" customWidth="1"/>
    <col min="12821" max="13056" width="9" style="156"/>
    <col min="13057" max="13057" width="7.75" style="156" customWidth="1"/>
    <col min="13058" max="13058" width="9.875" style="156" customWidth="1"/>
    <col min="13059" max="13059" width="10.25" style="156" bestFit="1" customWidth="1"/>
    <col min="13060" max="13060" width="11" style="156" customWidth="1"/>
    <col min="13061" max="13061" width="11.375" style="156" customWidth="1"/>
    <col min="13062" max="13062" width="11" style="156" customWidth="1"/>
    <col min="13063" max="13063" width="9.75" style="156" customWidth="1"/>
    <col min="13064" max="13064" width="10.25" style="156" bestFit="1" customWidth="1"/>
    <col min="13065" max="13065" width="8.125" style="156" bestFit="1" customWidth="1"/>
    <col min="13066" max="13067" width="13.125" style="156" bestFit="1" customWidth="1"/>
    <col min="13068" max="13068" width="12.375" style="156" customWidth="1"/>
    <col min="13069" max="13069" width="13.125" style="156" bestFit="1" customWidth="1"/>
    <col min="13070" max="13070" width="12.625" style="156" bestFit="1" customWidth="1"/>
    <col min="13071" max="13071" width="5.5" style="156" customWidth="1"/>
    <col min="13072" max="13073" width="9" style="156"/>
    <col min="13074" max="13075" width="11.125" style="156" customWidth="1"/>
    <col min="13076" max="13076" width="12.5" style="156" bestFit="1" customWidth="1"/>
    <col min="13077" max="13312" width="9" style="156"/>
    <col min="13313" max="13313" width="7.75" style="156" customWidth="1"/>
    <col min="13314" max="13314" width="9.875" style="156" customWidth="1"/>
    <col min="13315" max="13315" width="10.25" style="156" bestFit="1" customWidth="1"/>
    <col min="13316" max="13316" width="11" style="156" customWidth="1"/>
    <col min="13317" max="13317" width="11.375" style="156" customWidth="1"/>
    <col min="13318" max="13318" width="11" style="156" customWidth="1"/>
    <col min="13319" max="13319" width="9.75" style="156" customWidth="1"/>
    <col min="13320" max="13320" width="10.25" style="156" bestFit="1" customWidth="1"/>
    <col min="13321" max="13321" width="8.125" style="156" bestFit="1" customWidth="1"/>
    <col min="13322" max="13323" width="13.125" style="156" bestFit="1" customWidth="1"/>
    <col min="13324" max="13324" width="12.375" style="156" customWidth="1"/>
    <col min="13325" max="13325" width="13.125" style="156" bestFit="1" customWidth="1"/>
    <col min="13326" max="13326" width="12.625" style="156" bestFit="1" customWidth="1"/>
    <col min="13327" max="13327" width="5.5" style="156" customWidth="1"/>
    <col min="13328" max="13329" width="9" style="156"/>
    <col min="13330" max="13331" width="11.125" style="156" customWidth="1"/>
    <col min="13332" max="13332" width="12.5" style="156" bestFit="1" customWidth="1"/>
    <col min="13333" max="13568" width="9" style="156"/>
    <col min="13569" max="13569" width="7.75" style="156" customWidth="1"/>
    <col min="13570" max="13570" width="9.875" style="156" customWidth="1"/>
    <col min="13571" max="13571" width="10.25" style="156" bestFit="1" customWidth="1"/>
    <col min="13572" max="13572" width="11" style="156" customWidth="1"/>
    <col min="13573" max="13573" width="11.375" style="156" customWidth="1"/>
    <col min="13574" max="13574" width="11" style="156" customWidth="1"/>
    <col min="13575" max="13575" width="9.75" style="156" customWidth="1"/>
    <col min="13576" max="13576" width="10.25" style="156" bestFit="1" customWidth="1"/>
    <col min="13577" max="13577" width="8.125" style="156" bestFit="1" customWidth="1"/>
    <col min="13578" max="13579" width="13.125" style="156" bestFit="1" customWidth="1"/>
    <col min="13580" max="13580" width="12.375" style="156" customWidth="1"/>
    <col min="13581" max="13581" width="13.125" style="156" bestFit="1" customWidth="1"/>
    <col min="13582" max="13582" width="12.625" style="156" bestFit="1" customWidth="1"/>
    <col min="13583" max="13583" width="5.5" style="156" customWidth="1"/>
    <col min="13584" max="13585" width="9" style="156"/>
    <col min="13586" max="13587" width="11.125" style="156" customWidth="1"/>
    <col min="13588" max="13588" width="12.5" style="156" bestFit="1" customWidth="1"/>
    <col min="13589" max="13824" width="9" style="156"/>
    <col min="13825" max="13825" width="7.75" style="156" customWidth="1"/>
    <col min="13826" max="13826" width="9.875" style="156" customWidth="1"/>
    <col min="13827" max="13827" width="10.25" style="156" bestFit="1" customWidth="1"/>
    <col min="13828" max="13828" width="11" style="156" customWidth="1"/>
    <col min="13829" max="13829" width="11.375" style="156" customWidth="1"/>
    <col min="13830" max="13830" width="11" style="156" customWidth="1"/>
    <col min="13831" max="13831" width="9.75" style="156" customWidth="1"/>
    <col min="13832" max="13832" width="10.25" style="156" bestFit="1" customWidth="1"/>
    <col min="13833" max="13833" width="8.125" style="156" bestFit="1" customWidth="1"/>
    <col min="13834" max="13835" width="13.125" style="156" bestFit="1" customWidth="1"/>
    <col min="13836" max="13836" width="12.375" style="156" customWidth="1"/>
    <col min="13837" max="13837" width="13.125" style="156" bestFit="1" customWidth="1"/>
    <col min="13838" max="13838" width="12.625" style="156" bestFit="1" customWidth="1"/>
    <col min="13839" max="13839" width="5.5" style="156" customWidth="1"/>
    <col min="13840" max="13841" width="9" style="156"/>
    <col min="13842" max="13843" width="11.125" style="156" customWidth="1"/>
    <col min="13844" max="13844" width="12.5" style="156" bestFit="1" customWidth="1"/>
    <col min="13845" max="14080" width="9" style="156"/>
    <col min="14081" max="14081" width="7.75" style="156" customWidth="1"/>
    <col min="14082" max="14082" width="9.875" style="156" customWidth="1"/>
    <col min="14083" max="14083" width="10.25" style="156" bestFit="1" customWidth="1"/>
    <col min="14084" max="14084" width="11" style="156" customWidth="1"/>
    <col min="14085" max="14085" width="11.375" style="156" customWidth="1"/>
    <col min="14086" max="14086" width="11" style="156" customWidth="1"/>
    <col min="14087" max="14087" width="9.75" style="156" customWidth="1"/>
    <col min="14088" max="14088" width="10.25" style="156" bestFit="1" customWidth="1"/>
    <col min="14089" max="14089" width="8.125" style="156" bestFit="1" customWidth="1"/>
    <col min="14090" max="14091" width="13.125" style="156" bestFit="1" customWidth="1"/>
    <col min="14092" max="14092" width="12.375" style="156" customWidth="1"/>
    <col min="14093" max="14093" width="13.125" style="156" bestFit="1" customWidth="1"/>
    <col min="14094" max="14094" width="12.625" style="156" bestFit="1" customWidth="1"/>
    <col min="14095" max="14095" width="5.5" style="156" customWidth="1"/>
    <col min="14096" max="14097" width="9" style="156"/>
    <col min="14098" max="14099" width="11.125" style="156" customWidth="1"/>
    <col min="14100" max="14100" width="12.5" style="156" bestFit="1" customWidth="1"/>
    <col min="14101" max="14336" width="9" style="156"/>
    <col min="14337" max="14337" width="7.75" style="156" customWidth="1"/>
    <col min="14338" max="14338" width="9.875" style="156" customWidth="1"/>
    <col min="14339" max="14339" width="10.25" style="156" bestFit="1" customWidth="1"/>
    <col min="14340" max="14340" width="11" style="156" customWidth="1"/>
    <col min="14341" max="14341" width="11.375" style="156" customWidth="1"/>
    <col min="14342" max="14342" width="11" style="156" customWidth="1"/>
    <col min="14343" max="14343" width="9.75" style="156" customWidth="1"/>
    <col min="14344" max="14344" width="10.25" style="156" bestFit="1" customWidth="1"/>
    <col min="14345" max="14345" width="8.125" style="156" bestFit="1" customWidth="1"/>
    <col min="14346" max="14347" width="13.125" style="156" bestFit="1" customWidth="1"/>
    <col min="14348" max="14348" width="12.375" style="156" customWidth="1"/>
    <col min="14349" max="14349" width="13.125" style="156" bestFit="1" customWidth="1"/>
    <col min="14350" max="14350" width="12.625" style="156" bestFit="1" customWidth="1"/>
    <col min="14351" max="14351" width="5.5" style="156" customWidth="1"/>
    <col min="14352" max="14353" width="9" style="156"/>
    <col min="14354" max="14355" width="11.125" style="156" customWidth="1"/>
    <col min="14356" max="14356" width="12.5" style="156" bestFit="1" customWidth="1"/>
    <col min="14357" max="14592" width="9" style="156"/>
    <col min="14593" max="14593" width="7.75" style="156" customWidth="1"/>
    <col min="14594" max="14594" width="9.875" style="156" customWidth="1"/>
    <col min="14595" max="14595" width="10.25" style="156" bestFit="1" customWidth="1"/>
    <col min="14596" max="14596" width="11" style="156" customWidth="1"/>
    <col min="14597" max="14597" width="11.375" style="156" customWidth="1"/>
    <col min="14598" max="14598" width="11" style="156" customWidth="1"/>
    <col min="14599" max="14599" width="9.75" style="156" customWidth="1"/>
    <col min="14600" max="14600" width="10.25" style="156" bestFit="1" customWidth="1"/>
    <col min="14601" max="14601" width="8.125" style="156" bestFit="1" customWidth="1"/>
    <col min="14602" max="14603" width="13.125" style="156" bestFit="1" customWidth="1"/>
    <col min="14604" max="14604" width="12.375" style="156" customWidth="1"/>
    <col min="14605" max="14605" width="13.125" style="156" bestFit="1" customWidth="1"/>
    <col min="14606" max="14606" width="12.625" style="156" bestFit="1" customWidth="1"/>
    <col min="14607" max="14607" width="5.5" style="156" customWidth="1"/>
    <col min="14608" max="14609" width="9" style="156"/>
    <col min="14610" max="14611" width="11.125" style="156" customWidth="1"/>
    <col min="14612" max="14612" width="12.5" style="156" bestFit="1" customWidth="1"/>
    <col min="14613" max="14848" width="9" style="156"/>
    <col min="14849" max="14849" width="7.75" style="156" customWidth="1"/>
    <col min="14850" max="14850" width="9.875" style="156" customWidth="1"/>
    <col min="14851" max="14851" width="10.25" style="156" bestFit="1" customWidth="1"/>
    <col min="14852" max="14852" width="11" style="156" customWidth="1"/>
    <col min="14853" max="14853" width="11.375" style="156" customWidth="1"/>
    <col min="14854" max="14854" width="11" style="156" customWidth="1"/>
    <col min="14855" max="14855" width="9.75" style="156" customWidth="1"/>
    <col min="14856" max="14856" width="10.25" style="156" bestFit="1" customWidth="1"/>
    <col min="14857" max="14857" width="8.125" style="156" bestFit="1" customWidth="1"/>
    <col min="14858" max="14859" width="13.125" style="156" bestFit="1" customWidth="1"/>
    <col min="14860" max="14860" width="12.375" style="156" customWidth="1"/>
    <col min="14861" max="14861" width="13.125" style="156" bestFit="1" customWidth="1"/>
    <col min="14862" max="14862" width="12.625" style="156" bestFit="1" customWidth="1"/>
    <col min="14863" max="14863" width="5.5" style="156" customWidth="1"/>
    <col min="14864" max="14865" width="9" style="156"/>
    <col min="14866" max="14867" width="11.125" style="156" customWidth="1"/>
    <col min="14868" max="14868" width="12.5" style="156" bestFit="1" customWidth="1"/>
    <col min="14869" max="15104" width="9" style="156"/>
    <col min="15105" max="15105" width="7.75" style="156" customWidth="1"/>
    <col min="15106" max="15106" width="9.875" style="156" customWidth="1"/>
    <col min="15107" max="15107" width="10.25" style="156" bestFit="1" customWidth="1"/>
    <col min="15108" max="15108" width="11" style="156" customWidth="1"/>
    <col min="15109" max="15109" width="11.375" style="156" customWidth="1"/>
    <col min="15110" max="15110" width="11" style="156" customWidth="1"/>
    <col min="15111" max="15111" width="9.75" style="156" customWidth="1"/>
    <col min="15112" max="15112" width="10.25" style="156" bestFit="1" customWidth="1"/>
    <col min="15113" max="15113" width="8.125" style="156" bestFit="1" customWidth="1"/>
    <col min="15114" max="15115" width="13.125" style="156" bestFit="1" customWidth="1"/>
    <col min="15116" max="15116" width="12.375" style="156" customWidth="1"/>
    <col min="15117" max="15117" width="13.125" style="156" bestFit="1" customWidth="1"/>
    <col min="15118" max="15118" width="12.625" style="156" bestFit="1" customWidth="1"/>
    <col min="15119" max="15119" width="5.5" style="156" customWidth="1"/>
    <col min="15120" max="15121" width="9" style="156"/>
    <col min="15122" max="15123" width="11.125" style="156" customWidth="1"/>
    <col min="15124" max="15124" width="12.5" style="156" bestFit="1" customWidth="1"/>
    <col min="15125" max="15360" width="9" style="156"/>
    <col min="15361" max="15361" width="7.75" style="156" customWidth="1"/>
    <col min="15362" max="15362" width="9.875" style="156" customWidth="1"/>
    <col min="15363" max="15363" width="10.25" style="156" bestFit="1" customWidth="1"/>
    <col min="15364" max="15364" width="11" style="156" customWidth="1"/>
    <col min="15365" max="15365" width="11.375" style="156" customWidth="1"/>
    <col min="15366" max="15366" width="11" style="156" customWidth="1"/>
    <col min="15367" max="15367" width="9.75" style="156" customWidth="1"/>
    <col min="15368" max="15368" width="10.25" style="156" bestFit="1" customWidth="1"/>
    <col min="15369" max="15369" width="8.125" style="156" bestFit="1" customWidth="1"/>
    <col min="15370" max="15371" width="13.125" style="156" bestFit="1" customWidth="1"/>
    <col min="15372" max="15372" width="12.375" style="156" customWidth="1"/>
    <col min="15373" max="15373" width="13.125" style="156" bestFit="1" customWidth="1"/>
    <col min="15374" max="15374" width="12.625" style="156" bestFit="1" customWidth="1"/>
    <col min="15375" max="15375" width="5.5" style="156" customWidth="1"/>
    <col min="15376" max="15377" width="9" style="156"/>
    <col min="15378" max="15379" width="11.125" style="156" customWidth="1"/>
    <col min="15380" max="15380" width="12.5" style="156" bestFit="1" customWidth="1"/>
    <col min="15381" max="15616" width="9" style="156"/>
    <col min="15617" max="15617" width="7.75" style="156" customWidth="1"/>
    <col min="15618" max="15618" width="9.875" style="156" customWidth="1"/>
    <col min="15619" max="15619" width="10.25" style="156" bestFit="1" customWidth="1"/>
    <col min="15620" max="15620" width="11" style="156" customWidth="1"/>
    <col min="15621" max="15621" width="11.375" style="156" customWidth="1"/>
    <col min="15622" max="15622" width="11" style="156" customWidth="1"/>
    <col min="15623" max="15623" width="9.75" style="156" customWidth="1"/>
    <col min="15624" max="15624" width="10.25" style="156" bestFit="1" customWidth="1"/>
    <col min="15625" max="15625" width="8.125" style="156" bestFit="1" customWidth="1"/>
    <col min="15626" max="15627" width="13.125" style="156" bestFit="1" customWidth="1"/>
    <col min="15628" max="15628" width="12.375" style="156" customWidth="1"/>
    <col min="15629" max="15629" width="13.125" style="156" bestFit="1" customWidth="1"/>
    <col min="15630" max="15630" width="12.625" style="156" bestFit="1" customWidth="1"/>
    <col min="15631" max="15631" width="5.5" style="156" customWidth="1"/>
    <col min="15632" max="15633" width="9" style="156"/>
    <col min="15634" max="15635" width="11.125" style="156" customWidth="1"/>
    <col min="15636" max="15636" width="12.5" style="156" bestFit="1" customWidth="1"/>
    <col min="15637" max="15872" width="9" style="156"/>
    <col min="15873" max="15873" width="7.75" style="156" customWidth="1"/>
    <col min="15874" max="15874" width="9.875" style="156" customWidth="1"/>
    <col min="15875" max="15875" width="10.25" style="156" bestFit="1" customWidth="1"/>
    <col min="15876" max="15876" width="11" style="156" customWidth="1"/>
    <col min="15877" max="15877" width="11.375" style="156" customWidth="1"/>
    <col min="15878" max="15878" width="11" style="156" customWidth="1"/>
    <col min="15879" max="15879" width="9.75" style="156" customWidth="1"/>
    <col min="15880" max="15880" width="10.25" style="156" bestFit="1" customWidth="1"/>
    <col min="15881" max="15881" width="8.125" style="156" bestFit="1" customWidth="1"/>
    <col min="15882" max="15883" width="13.125" style="156" bestFit="1" customWidth="1"/>
    <col min="15884" max="15884" width="12.375" style="156" customWidth="1"/>
    <col min="15885" max="15885" width="13.125" style="156" bestFit="1" customWidth="1"/>
    <col min="15886" max="15886" width="12.625" style="156" bestFit="1" customWidth="1"/>
    <col min="15887" max="15887" width="5.5" style="156" customWidth="1"/>
    <col min="15888" max="15889" width="9" style="156"/>
    <col min="15890" max="15891" width="11.125" style="156" customWidth="1"/>
    <col min="15892" max="15892" width="12.5" style="156" bestFit="1" customWidth="1"/>
    <col min="15893" max="16128" width="9" style="156"/>
    <col min="16129" max="16129" width="7.75" style="156" customWidth="1"/>
    <col min="16130" max="16130" width="9.875" style="156" customWidth="1"/>
    <col min="16131" max="16131" width="10.25" style="156" bestFit="1" customWidth="1"/>
    <col min="16132" max="16132" width="11" style="156" customWidth="1"/>
    <col min="16133" max="16133" width="11.375" style="156" customWidth="1"/>
    <col min="16134" max="16134" width="11" style="156" customWidth="1"/>
    <col min="16135" max="16135" width="9.75" style="156" customWidth="1"/>
    <col min="16136" max="16136" width="10.25" style="156" bestFit="1" customWidth="1"/>
    <col min="16137" max="16137" width="8.125" style="156" bestFit="1" customWidth="1"/>
    <col min="16138" max="16139" width="13.125" style="156" bestFit="1" customWidth="1"/>
    <col min="16140" max="16140" width="12.375" style="156" customWidth="1"/>
    <col min="16141" max="16141" width="13.125" style="156" bestFit="1" customWidth="1"/>
    <col min="16142" max="16142" width="12.625" style="156" bestFit="1" customWidth="1"/>
    <col min="16143" max="16143" width="5.5" style="156" customWidth="1"/>
    <col min="16144" max="16145" width="9" style="156"/>
    <col min="16146" max="16147" width="11.125" style="156" customWidth="1"/>
    <col min="16148" max="16148" width="12.5" style="156" bestFit="1" customWidth="1"/>
    <col min="16149" max="16384" width="9" style="156"/>
  </cols>
  <sheetData>
    <row r="1" spans="1:20" ht="63.75" customHeight="1">
      <c r="A1" s="1175" t="s">
        <v>401</v>
      </c>
      <c r="B1" s="1175"/>
      <c r="C1" s="1175"/>
      <c r="D1" s="1175"/>
      <c r="E1" s="1175"/>
      <c r="F1" s="1175"/>
      <c r="G1" s="1175"/>
      <c r="H1" s="1175"/>
      <c r="I1" s="1175"/>
      <c r="J1" s="1175"/>
      <c r="K1" s="1175"/>
      <c r="L1" s="1175"/>
      <c r="M1" s="1175"/>
    </row>
    <row r="2" spans="1:20" ht="26.25">
      <c r="A2" s="1171" t="s">
        <v>618</v>
      </c>
      <c r="B2" s="1171"/>
      <c r="C2" s="1171"/>
      <c r="D2" s="1171"/>
      <c r="E2" s="1171"/>
      <c r="F2" s="1171"/>
    </row>
    <row r="3" spans="1:20" ht="15" customHeight="1">
      <c r="A3" s="159"/>
      <c r="H3" s="1179" t="s">
        <v>133</v>
      </c>
      <c r="I3" s="1179"/>
      <c r="J3" s="1180">
        <f>'자기평가서(2단계-종합기술제안서 정량평가)'!K4</f>
        <v>45972</v>
      </c>
      <c r="K3" s="1181"/>
      <c r="L3" s="304" t="s">
        <v>219</v>
      </c>
      <c r="M3" s="370">
        <f>J3-1</f>
        <v>45971</v>
      </c>
    </row>
    <row r="4" spans="1:20" ht="15" customHeight="1">
      <c r="M4" s="305"/>
    </row>
    <row r="5" spans="1:20" s="337" customFormat="1" ht="29.25" customHeight="1">
      <c r="A5" s="159" t="s">
        <v>436</v>
      </c>
      <c r="B5" s="159"/>
      <c r="C5" s="159"/>
      <c r="D5" s="304" t="s">
        <v>220</v>
      </c>
      <c r="E5" s="340" t="s">
        <v>221</v>
      </c>
      <c r="F5" s="156"/>
      <c r="G5" s="156"/>
      <c r="H5" s="156"/>
      <c r="I5" s="156"/>
      <c r="J5" s="156"/>
      <c r="K5" s="156"/>
      <c r="L5" s="156"/>
      <c r="M5" s="156"/>
      <c r="N5" s="336"/>
      <c r="P5" s="329"/>
      <c r="Q5" s="329"/>
      <c r="R5" s="329"/>
      <c r="S5" s="329"/>
      <c r="T5" s="329"/>
    </row>
    <row r="6" spans="1:20" ht="15" customHeight="1">
      <c r="A6" s="158"/>
      <c r="B6" s="158"/>
      <c r="C6" s="158"/>
      <c r="D6" s="371" t="str">
        <f>'3-1 참여기술인(등급)'!F8</f>
        <v>특급</v>
      </c>
      <c r="E6" s="371" t="str">
        <f>'3-1 참여기술인(등급)'!G8</f>
        <v>특급</v>
      </c>
      <c r="F6" s="158"/>
      <c r="G6" s="158"/>
      <c r="H6" s="158"/>
      <c r="I6" s="158"/>
      <c r="J6" s="158"/>
      <c r="K6" s="158"/>
      <c r="L6" s="158"/>
    </row>
    <row r="7" spans="1:20" ht="32.25" customHeight="1">
      <c r="A7" s="372" t="s">
        <v>437</v>
      </c>
      <c r="B7" s="373"/>
      <c r="C7" s="373"/>
      <c r="D7" s="373"/>
      <c r="E7" s="373"/>
      <c r="F7" s="374"/>
      <c r="G7" s="373"/>
      <c r="H7" s="373"/>
      <c r="I7" s="374"/>
      <c r="J7" s="373"/>
      <c r="K7" s="373"/>
      <c r="L7" s="373"/>
      <c r="M7" s="375"/>
      <c r="N7" s="376"/>
    </row>
    <row r="8" spans="1:20" ht="21" customHeight="1">
      <c r="A8" s="377" t="s">
        <v>207</v>
      </c>
      <c r="B8" s="1182" t="s">
        <v>160</v>
      </c>
      <c r="C8" s="1112"/>
      <c r="D8" s="304" t="s">
        <v>222</v>
      </c>
      <c r="E8" s="304" t="s">
        <v>161</v>
      </c>
      <c r="F8" s="304" t="s">
        <v>162</v>
      </c>
      <c r="G8" s="304" t="s">
        <v>223</v>
      </c>
      <c r="H8" s="304" t="s">
        <v>224</v>
      </c>
      <c r="I8" s="304" t="s">
        <v>225</v>
      </c>
      <c r="J8" s="304" t="s">
        <v>172</v>
      </c>
      <c r="K8" s="304" t="s">
        <v>173</v>
      </c>
      <c r="L8" s="304" t="s">
        <v>226</v>
      </c>
      <c r="M8" s="304" t="s">
        <v>227</v>
      </c>
      <c r="N8" s="337"/>
      <c r="P8" s="305"/>
      <c r="Q8" s="305"/>
    </row>
    <row r="9" spans="1:20" ht="47.25" customHeight="1">
      <c r="A9" s="1105" t="str">
        <f>'3-1 참여기술인(등급)'!D8</f>
        <v>홍길동</v>
      </c>
      <c r="B9" s="620" t="s">
        <v>228</v>
      </c>
      <c r="C9" s="620" t="s">
        <v>523</v>
      </c>
      <c r="D9" s="624"/>
      <c r="E9" s="624"/>
      <c r="F9" s="344"/>
      <c r="G9" s="344"/>
      <c r="H9" s="306"/>
      <c r="I9" s="378">
        <v>1</v>
      </c>
      <c r="J9" s="307"/>
      <c r="K9" s="307"/>
      <c r="L9" s="308">
        <f>IF(K9&gt;=$M$3,$M$3,K9)</f>
        <v>0</v>
      </c>
      <c r="M9" s="216" t="str">
        <f>IF(J9="","",(L9-J9+1)*I9)</f>
        <v/>
      </c>
      <c r="N9" s="337"/>
      <c r="P9" s="305"/>
      <c r="Q9" s="305"/>
    </row>
    <row r="10" spans="1:20" ht="15" customHeight="1">
      <c r="A10" s="1105"/>
      <c r="B10" s="1183" t="s">
        <v>410</v>
      </c>
      <c r="C10" s="1184"/>
      <c r="D10" s="1184"/>
      <c r="E10" s="1184"/>
      <c r="F10" s="1184"/>
      <c r="G10" s="1184"/>
      <c r="H10" s="1184"/>
      <c r="I10" s="1184"/>
      <c r="J10" s="1184"/>
      <c r="K10" s="1184"/>
      <c r="L10" s="1185"/>
      <c r="M10" s="379">
        <f>SUM(M9:M9)</f>
        <v>0</v>
      </c>
      <c r="N10" s="614">
        <f>M10/30</f>
        <v>0</v>
      </c>
    </row>
    <row r="11" spans="1:20" ht="24.75" customHeight="1">
      <c r="A11" s="1105"/>
      <c r="B11" s="1176" t="s">
        <v>229</v>
      </c>
      <c r="C11" s="1177"/>
      <c r="D11" s="1177"/>
      <c r="E11" s="1177"/>
      <c r="F11" s="1177"/>
      <c r="G11" s="1177"/>
      <c r="H11" s="1177"/>
      <c r="I11" s="1177"/>
      <c r="J11" s="1177"/>
      <c r="K11" s="1177"/>
      <c r="L11" s="1178"/>
      <c r="M11" s="380">
        <f>11963-3</f>
        <v>11960</v>
      </c>
      <c r="N11" s="381" t="s">
        <v>438</v>
      </c>
    </row>
    <row r="12" spans="1:20" ht="15" customHeight="1">
      <c r="M12" s="615">
        <f>M11/365</f>
        <v>32.767123287671232</v>
      </c>
    </row>
    <row r="13" spans="1:20" ht="15" customHeight="1">
      <c r="A13" s="105"/>
    </row>
    <row r="14" spans="1:20" ht="15" customHeight="1"/>
    <row r="15" spans="1:20" ht="15" customHeight="1"/>
    <row r="16" spans="1:20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</sheetData>
  <mergeCells count="8">
    <mergeCell ref="A1:M1"/>
    <mergeCell ref="B11:L11"/>
    <mergeCell ref="A2:F2"/>
    <mergeCell ref="H3:I3"/>
    <mergeCell ref="J3:K3"/>
    <mergeCell ref="B8:C8"/>
    <mergeCell ref="A9:A11"/>
    <mergeCell ref="B10:L10"/>
  </mergeCells>
  <phoneticPr fontId="2" type="noConversion"/>
  <printOptions horizontalCentered="1"/>
  <pageMargins left="0.11811023622047245" right="0.11811023622047245" top="0.74803149606299213" bottom="0.55118110236220474" header="0.31496062992125984" footer="0.31496062992125984"/>
  <pageSetup paperSize="9" scale="70" orientation="landscape" verticalDpi="1200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T9"/>
  <sheetViews>
    <sheetView showGridLines="0" view="pageBreakPreview" zoomScaleNormal="100" zoomScaleSheetLayoutView="100" workbookViewId="0">
      <selection activeCell="A2" sqref="A2"/>
    </sheetView>
  </sheetViews>
  <sheetFormatPr defaultRowHeight="16.5"/>
  <cols>
    <col min="1" max="1" width="8.5" style="156" customWidth="1"/>
    <col min="2" max="2" width="9.25" style="156" bestFit="1" customWidth="1"/>
    <col min="3" max="3" width="10.5" style="156" bestFit="1" customWidth="1"/>
    <col min="4" max="5" width="12.75" style="156" customWidth="1"/>
    <col min="6" max="6" width="48.625" style="156" customWidth="1"/>
    <col min="7" max="7" width="10.25" style="156" bestFit="1" customWidth="1"/>
    <col min="8" max="8" width="15" style="156" bestFit="1" customWidth="1"/>
    <col min="9" max="9" width="8.125" style="156" bestFit="1" customWidth="1"/>
    <col min="10" max="10" width="13.125" style="156" bestFit="1" customWidth="1"/>
    <col min="11" max="12" width="12.375" style="156" customWidth="1"/>
    <col min="13" max="13" width="11.5" style="281" bestFit="1" customWidth="1"/>
    <col min="14" max="14" width="12.625" style="382" bestFit="1" customWidth="1"/>
    <col min="15" max="15" width="5.5" style="156" customWidth="1"/>
    <col min="16" max="17" width="9" style="280"/>
    <col min="18" max="19" width="11.125" style="280" customWidth="1"/>
    <col min="20" max="20" width="12.5" style="280" bestFit="1" customWidth="1"/>
    <col min="21" max="256" width="9" style="156"/>
    <col min="257" max="257" width="8.5" style="156" customWidth="1"/>
    <col min="258" max="258" width="11.125" style="156" customWidth="1"/>
    <col min="259" max="259" width="10.25" style="156" bestFit="1" customWidth="1"/>
    <col min="260" max="261" width="11" style="156" customWidth="1"/>
    <col min="262" max="262" width="11.375" style="156" customWidth="1"/>
    <col min="263" max="264" width="10.25" style="156" bestFit="1" customWidth="1"/>
    <col min="265" max="265" width="8.125" style="156" bestFit="1" customWidth="1"/>
    <col min="266" max="266" width="13.125" style="156" bestFit="1" customWidth="1"/>
    <col min="267" max="268" width="12.375" style="156" customWidth="1"/>
    <col min="269" max="269" width="11.5" style="156" bestFit="1" customWidth="1"/>
    <col min="270" max="270" width="12.625" style="156" bestFit="1" customWidth="1"/>
    <col min="271" max="271" width="5.5" style="156" customWidth="1"/>
    <col min="272" max="273" width="9" style="156"/>
    <col min="274" max="275" width="11.125" style="156" customWidth="1"/>
    <col min="276" max="276" width="12.5" style="156" bestFit="1" customWidth="1"/>
    <col min="277" max="512" width="9" style="156"/>
    <col min="513" max="513" width="8.5" style="156" customWidth="1"/>
    <col min="514" max="514" width="11.125" style="156" customWidth="1"/>
    <col min="515" max="515" width="10.25" style="156" bestFit="1" customWidth="1"/>
    <col min="516" max="517" width="11" style="156" customWidth="1"/>
    <col min="518" max="518" width="11.375" style="156" customWidth="1"/>
    <col min="519" max="520" width="10.25" style="156" bestFit="1" customWidth="1"/>
    <col min="521" max="521" width="8.125" style="156" bestFit="1" customWidth="1"/>
    <col min="522" max="522" width="13.125" style="156" bestFit="1" customWidth="1"/>
    <col min="523" max="524" width="12.375" style="156" customWidth="1"/>
    <col min="525" max="525" width="11.5" style="156" bestFit="1" customWidth="1"/>
    <col min="526" max="526" width="12.625" style="156" bestFit="1" customWidth="1"/>
    <col min="527" max="527" width="5.5" style="156" customWidth="1"/>
    <col min="528" max="529" width="9" style="156"/>
    <col min="530" max="531" width="11.125" style="156" customWidth="1"/>
    <col min="532" max="532" width="12.5" style="156" bestFit="1" customWidth="1"/>
    <col min="533" max="768" width="9" style="156"/>
    <col min="769" max="769" width="8.5" style="156" customWidth="1"/>
    <col min="770" max="770" width="11.125" style="156" customWidth="1"/>
    <col min="771" max="771" width="10.25" style="156" bestFit="1" customWidth="1"/>
    <col min="772" max="773" width="11" style="156" customWidth="1"/>
    <col min="774" max="774" width="11.375" style="156" customWidth="1"/>
    <col min="775" max="776" width="10.25" style="156" bestFit="1" customWidth="1"/>
    <col min="777" max="777" width="8.125" style="156" bestFit="1" customWidth="1"/>
    <col min="778" max="778" width="13.125" style="156" bestFit="1" customWidth="1"/>
    <col min="779" max="780" width="12.375" style="156" customWidth="1"/>
    <col min="781" max="781" width="11.5" style="156" bestFit="1" customWidth="1"/>
    <col min="782" max="782" width="12.625" style="156" bestFit="1" customWidth="1"/>
    <col min="783" max="783" width="5.5" style="156" customWidth="1"/>
    <col min="784" max="785" width="9" style="156"/>
    <col min="786" max="787" width="11.125" style="156" customWidth="1"/>
    <col min="788" max="788" width="12.5" style="156" bestFit="1" customWidth="1"/>
    <col min="789" max="1024" width="9" style="156"/>
    <col min="1025" max="1025" width="8.5" style="156" customWidth="1"/>
    <col min="1026" max="1026" width="11.125" style="156" customWidth="1"/>
    <col min="1027" max="1027" width="10.25" style="156" bestFit="1" customWidth="1"/>
    <col min="1028" max="1029" width="11" style="156" customWidth="1"/>
    <col min="1030" max="1030" width="11.375" style="156" customWidth="1"/>
    <col min="1031" max="1032" width="10.25" style="156" bestFit="1" customWidth="1"/>
    <col min="1033" max="1033" width="8.125" style="156" bestFit="1" customWidth="1"/>
    <col min="1034" max="1034" width="13.125" style="156" bestFit="1" customWidth="1"/>
    <col min="1035" max="1036" width="12.375" style="156" customWidth="1"/>
    <col min="1037" max="1037" width="11.5" style="156" bestFit="1" customWidth="1"/>
    <col min="1038" max="1038" width="12.625" style="156" bestFit="1" customWidth="1"/>
    <col min="1039" max="1039" width="5.5" style="156" customWidth="1"/>
    <col min="1040" max="1041" width="9" style="156"/>
    <col min="1042" max="1043" width="11.125" style="156" customWidth="1"/>
    <col min="1044" max="1044" width="12.5" style="156" bestFit="1" customWidth="1"/>
    <col min="1045" max="1280" width="9" style="156"/>
    <col min="1281" max="1281" width="8.5" style="156" customWidth="1"/>
    <col min="1282" max="1282" width="11.125" style="156" customWidth="1"/>
    <col min="1283" max="1283" width="10.25" style="156" bestFit="1" customWidth="1"/>
    <col min="1284" max="1285" width="11" style="156" customWidth="1"/>
    <col min="1286" max="1286" width="11.375" style="156" customWidth="1"/>
    <col min="1287" max="1288" width="10.25" style="156" bestFit="1" customWidth="1"/>
    <col min="1289" max="1289" width="8.125" style="156" bestFit="1" customWidth="1"/>
    <col min="1290" max="1290" width="13.125" style="156" bestFit="1" customWidth="1"/>
    <col min="1291" max="1292" width="12.375" style="156" customWidth="1"/>
    <col min="1293" max="1293" width="11.5" style="156" bestFit="1" customWidth="1"/>
    <col min="1294" max="1294" width="12.625" style="156" bestFit="1" customWidth="1"/>
    <col min="1295" max="1295" width="5.5" style="156" customWidth="1"/>
    <col min="1296" max="1297" width="9" style="156"/>
    <col min="1298" max="1299" width="11.125" style="156" customWidth="1"/>
    <col min="1300" max="1300" width="12.5" style="156" bestFit="1" customWidth="1"/>
    <col min="1301" max="1536" width="9" style="156"/>
    <col min="1537" max="1537" width="8.5" style="156" customWidth="1"/>
    <col min="1538" max="1538" width="11.125" style="156" customWidth="1"/>
    <col min="1539" max="1539" width="10.25" style="156" bestFit="1" customWidth="1"/>
    <col min="1540" max="1541" width="11" style="156" customWidth="1"/>
    <col min="1542" max="1542" width="11.375" style="156" customWidth="1"/>
    <col min="1543" max="1544" width="10.25" style="156" bestFit="1" customWidth="1"/>
    <col min="1545" max="1545" width="8.125" style="156" bestFit="1" customWidth="1"/>
    <col min="1546" max="1546" width="13.125" style="156" bestFit="1" customWidth="1"/>
    <col min="1547" max="1548" width="12.375" style="156" customWidth="1"/>
    <col min="1549" max="1549" width="11.5" style="156" bestFit="1" customWidth="1"/>
    <col min="1550" max="1550" width="12.625" style="156" bestFit="1" customWidth="1"/>
    <col min="1551" max="1551" width="5.5" style="156" customWidth="1"/>
    <col min="1552" max="1553" width="9" style="156"/>
    <col min="1554" max="1555" width="11.125" style="156" customWidth="1"/>
    <col min="1556" max="1556" width="12.5" style="156" bestFit="1" customWidth="1"/>
    <col min="1557" max="1792" width="9" style="156"/>
    <col min="1793" max="1793" width="8.5" style="156" customWidth="1"/>
    <col min="1794" max="1794" width="11.125" style="156" customWidth="1"/>
    <col min="1795" max="1795" width="10.25" style="156" bestFit="1" customWidth="1"/>
    <col min="1796" max="1797" width="11" style="156" customWidth="1"/>
    <col min="1798" max="1798" width="11.375" style="156" customWidth="1"/>
    <col min="1799" max="1800" width="10.25" style="156" bestFit="1" customWidth="1"/>
    <col min="1801" max="1801" width="8.125" style="156" bestFit="1" customWidth="1"/>
    <col min="1802" max="1802" width="13.125" style="156" bestFit="1" customWidth="1"/>
    <col min="1803" max="1804" width="12.375" style="156" customWidth="1"/>
    <col min="1805" max="1805" width="11.5" style="156" bestFit="1" customWidth="1"/>
    <col min="1806" max="1806" width="12.625" style="156" bestFit="1" customWidth="1"/>
    <col min="1807" max="1807" width="5.5" style="156" customWidth="1"/>
    <col min="1808" max="1809" width="9" style="156"/>
    <col min="1810" max="1811" width="11.125" style="156" customWidth="1"/>
    <col min="1812" max="1812" width="12.5" style="156" bestFit="1" customWidth="1"/>
    <col min="1813" max="2048" width="9" style="156"/>
    <col min="2049" max="2049" width="8.5" style="156" customWidth="1"/>
    <col min="2050" max="2050" width="11.125" style="156" customWidth="1"/>
    <col min="2051" max="2051" width="10.25" style="156" bestFit="1" customWidth="1"/>
    <col min="2052" max="2053" width="11" style="156" customWidth="1"/>
    <col min="2054" max="2054" width="11.375" style="156" customWidth="1"/>
    <col min="2055" max="2056" width="10.25" style="156" bestFit="1" customWidth="1"/>
    <col min="2057" max="2057" width="8.125" style="156" bestFit="1" customWidth="1"/>
    <col min="2058" max="2058" width="13.125" style="156" bestFit="1" customWidth="1"/>
    <col min="2059" max="2060" width="12.375" style="156" customWidth="1"/>
    <col min="2061" max="2061" width="11.5" style="156" bestFit="1" customWidth="1"/>
    <col min="2062" max="2062" width="12.625" style="156" bestFit="1" customWidth="1"/>
    <col min="2063" max="2063" width="5.5" style="156" customWidth="1"/>
    <col min="2064" max="2065" width="9" style="156"/>
    <col min="2066" max="2067" width="11.125" style="156" customWidth="1"/>
    <col min="2068" max="2068" width="12.5" style="156" bestFit="1" customWidth="1"/>
    <col min="2069" max="2304" width="9" style="156"/>
    <col min="2305" max="2305" width="8.5" style="156" customWidth="1"/>
    <col min="2306" max="2306" width="11.125" style="156" customWidth="1"/>
    <col min="2307" max="2307" width="10.25" style="156" bestFit="1" customWidth="1"/>
    <col min="2308" max="2309" width="11" style="156" customWidth="1"/>
    <col min="2310" max="2310" width="11.375" style="156" customWidth="1"/>
    <col min="2311" max="2312" width="10.25" style="156" bestFit="1" customWidth="1"/>
    <col min="2313" max="2313" width="8.125" style="156" bestFit="1" customWidth="1"/>
    <col min="2314" max="2314" width="13.125" style="156" bestFit="1" customWidth="1"/>
    <col min="2315" max="2316" width="12.375" style="156" customWidth="1"/>
    <col min="2317" max="2317" width="11.5" style="156" bestFit="1" customWidth="1"/>
    <col min="2318" max="2318" width="12.625" style="156" bestFit="1" customWidth="1"/>
    <col min="2319" max="2319" width="5.5" style="156" customWidth="1"/>
    <col min="2320" max="2321" width="9" style="156"/>
    <col min="2322" max="2323" width="11.125" style="156" customWidth="1"/>
    <col min="2324" max="2324" width="12.5" style="156" bestFit="1" customWidth="1"/>
    <col min="2325" max="2560" width="9" style="156"/>
    <col min="2561" max="2561" width="8.5" style="156" customWidth="1"/>
    <col min="2562" max="2562" width="11.125" style="156" customWidth="1"/>
    <col min="2563" max="2563" width="10.25" style="156" bestFit="1" customWidth="1"/>
    <col min="2564" max="2565" width="11" style="156" customWidth="1"/>
    <col min="2566" max="2566" width="11.375" style="156" customWidth="1"/>
    <col min="2567" max="2568" width="10.25" style="156" bestFit="1" customWidth="1"/>
    <col min="2569" max="2569" width="8.125" style="156" bestFit="1" customWidth="1"/>
    <col min="2570" max="2570" width="13.125" style="156" bestFit="1" customWidth="1"/>
    <col min="2571" max="2572" width="12.375" style="156" customWidth="1"/>
    <col min="2573" max="2573" width="11.5" style="156" bestFit="1" customWidth="1"/>
    <col min="2574" max="2574" width="12.625" style="156" bestFit="1" customWidth="1"/>
    <col min="2575" max="2575" width="5.5" style="156" customWidth="1"/>
    <col min="2576" max="2577" width="9" style="156"/>
    <col min="2578" max="2579" width="11.125" style="156" customWidth="1"/>
    <col min="2580" max="2580" width="12.5" style="156" bestFit="1" customWidth="1"/>
    <col min="2581" max="2816" width="9" style="156"/>
    <col min="2817" max="2817" width="8.5" style="156" customWidth="1"/>
    <col min="2818" max="2818" width="11.125" style="156" customWidth="1"/>
    <col min="2819" max="2819" width="10.25" style="156" bestFit="1" customWidth="1"/>
    <col min="2820" max="2821" width="11" style="156" customWidth="1"/>
    <col min="2822" max="2822" width="11.375" style="156" customWidth="1"/>
    <col min="2823" max="2824" width="10.25" style="156" bestFit="1" customWidth="1"/>
    <col min="2825" max="2825" width="8.125" style="156" bestFit="1" customWidth="1"/>
    <col min="2826" max="2826" width="13.125" style="156" bestFit="1" customWidth="1"/>
    <col min="2827" max="2828" width="12.375" style="156" customWidth="1"/>
    <col min="2829" max="2829" width="11.5" style="156" bestFit="1" customWidth="1"/>
    <col min="2830" max="2830" width="12.625" style="156" bestFit="1" customWidth="1"/>
    <col min="2831" max="2831" width="5.5" style="156" customWidth="1"/>
    <col min="2832" max="2833" width="9" style="156"/>
    <col min="2834" max="2835" width="11.125" style="156" customWidth="1"/>
    <col min="2836" max="2836" width="12.5" style="156" bestFit="1" customWidth="1"/>
    <col min="2837" max="3072" width="9" style="156"/>
    <col min="3073" max="3073" width="8.5" style="156" customWidth="1"/>
    <col min="3074" max="3074" width="11.125" style="156" customWidth="1"/>
    <col min="3075" max="3075" width="10.25" style="156" bestFit="1" customWidth="1"/>
    <col min="3076" max="3077" width="11" style="156" customWidth="1"/>
    <col min="3078" max="3078" width="11.375" style="156" customWidth="1"/>
    <col min="3079" max="3080" width="10.25" style="156" bestFit="1" customWidth="1"/>
    <col min="3081" max="3081" width="8.125" style="156" bestFit="1" customWidth="1"/>
    <col min="3082" max="3082" width="13.125" style="156" bestFit="1" customWidth="1"/>
    <col min="3083" max="3084" width="12.375" style="156" customWidth="1"/>
    <col min="3085" max="3085" width="11.5" style="156" bestFit="1" customWidth="1"/>
    <col min="3086" max="3086" width="12.625" style="156" bestFit="1" customWidth="1"/>
    <col min="3087" max="3087" width="5.5" style="156" customWidth="1"/>
    <col min="3088" max="3089" width="9" style="156"/>
    <col min="3090" max="3091" width="11.125" style="156" customWidth="1"/>
    <col min="3092" max="3092" width="12.5" style="156" bestFit="1" customWidth="1"/>
    <col min="3093" max="3328" width="9" style="156"/>
    <col min="3329" max="3329" width="8.5" style="156" customWidth="1"/>
    <col min="3330" max="3330" width="11.125" style="156" customWidth="1"/>
    <col min="3331" max="3331" width="10.25" style="156" bestFit="1" customWidth="1"/>
    <col min="3332" max="3333" width="11" style="156" customWidth="1"/>
    <col min="3334" max="3334" width="11.375" style="156" customWidth="1"/>
    <col min="3335" max="3336" width="10.25" style="156" bestFit="1" customWidth="1"/>
    <col min="3337" max="3337" width="8.125" style="156" bestFit="1" customWidth="1"/>
    <col min="3338" max="3338" width="13.125" style="156" bestFit="1" customWidth="1"/>
    <col min="3339" max="3340" width="12.375" style="156" customWidth="1"/>
    <col min="3341" max="3341" width="11.5" style="156" bestFit="1" customWidth="1"/>
    <col min="3342" max="3342" width="12.625" style="156" bestFit="1" customWidth="1"/>
    <col min="3343" max="3343" width="5.5" style="156" customWidth="1"/>
    <col min="3344" max="3345" width="9" style="156"/>
    <col min="3346" max="3347" width="11.125" style="156" customWidth="1"/>
    <col min="3348" max="3348" width="12.5" style="156" bestFit="1" customWidth="1"/>
    <col min="3349" max="3584" width="9" style="156"/>
    <col min="3585" max="3585" width="8.5" style="156" customWidth="1"/>
    <col min="3586" max="3586" width="11.125" style="156" customWidth="1"/>
    <col min="3587" max="3587" width="10.25" style="156" bestFit="1" customWidth="1"/>
    <col min="3588" max="3589" width="11" style="156" customWidth="1"/>
    <col min="3590" max="3590" width="11.375" style="156" customWidth="1"/>
    <col min="3591" max="3592" width="10.25" style="156" bestFit="1" customWidth="1"/>
    <col min="3593" max="3593" width="8.125" style="156" bestFit="1" customWidth="1"/>
    <col min="3594" max="3594" width="13.125" style="156" bestFit="1" customWidth="1"/>
    <col min="3595" max="3596" width="12.375" style="156" customWidth="1"/>
    <col min="3597" max="3597" width="11.5" style="156" bestFit="1" customWidth="1"/>
    <col min="3598" max="3598" width="12.625" style="156" bestFit="1" customWidth="1"/>
    <col min="3599" max="3599" width="5.5" style="156" customWidth="1"/>
    <col min="3600" max="3601" width="9" style="156"/>
    <col min="3602" max="3603" width="11.125" style="156" customWidth="1"/>
    <col min="3604" max="3604" width="12.5" style="156" bestFit="1" customWidth="1"/>
    <col min="3605" max="3840" width="9" style="156"/>
    <col min="3841" max="3841" width="8.5" style="156" customWidth="1"/>
    <col min="3842" max="3842" width="11.125" style="156" customWidth="1"/>
    <col min="3843" max="3843" width="10.25" style="156" bestFit="1" customWidth="1"/>
    <col min="3844" max="3845" width="11" style="156" customWidth="1"/>
    <col min="3846" max="3846" width="11.375" style="156" customWidth="1"/>
    <col min="3847" max="3848" width="10.25" style="156" bestFit="1" customWidth="1"/>
    <col min="3849" max="3849" width="8.125" style="156" bestFit="1" customWidth="1"/>
    <col min="3850" max="3850" width="13.125" style="156" bestFit="1" customWidth="1"/>
    <col min="3851" max="3852" width="12.375" style="156" customWidth="1"/>
    <col min="3853" max="3853" width="11.5" style="156" bestFit="1" customWidth="1"/>
    <col min="3854" max="3854" width="12.625" style="156" bestFit="1" customWidth="1"/>
    <col min="3855" max="3855" width="5.5" style="156" customWidth="1"/>
    <col min="3856" max="3857" width="9" style="156"/>
    <col min="3858" max="3859" width="11.125" style="156" customWidth="1"/>
    <col min="3860" max="3860" width="12.5" style="156" bestFit="1" customWidth="1"/>
    <col min="3861" max="4096" width="9" style="156"/>
    <col min="4097" max="4097" width="8.5" style="156" customWidth="1"/>
    <col min="4098" max="4098" width="11.125" style="156" customWidth="1"/>
    <col min="4099" max="4099" width="10.25" style="156" bestFit="1" customWidth="1"/>
    <col min="4100" max="4101" width="11" style="156" customWidth="1"/>
    <col min="4102" max="4102" width="11.375" style="156" customWidth="1"/>
    <col min="4103" max="4104" width="10.25" style="156" bestFit="1" customWidth="1"/>
    <col min="4105" max="4105" width="8.125" style="156" bestFit="1" customWidth="1"/>
    <col min="4106" max="4106" width="13.125" style="156" bestFit="1" customWidth="1"/>
    <col min="4107" max="4108" width="12.375" style="156" customWidth="1"/>
    <col min="4109" max="4109" width="11.5" style="156" bestFit="1" customWidth="1"/>
    <col min="4110" max="4110" width="12.625" style="156" bestFit="1" customWidth="1"/>
    <col min="4111" max="4111" width="5.5" style="156" customWidth="1"/>
    <col min="4112" max="4113" width="9" style="156"/>
    <col min="4114" max="4115" width="11.125" style="156" customWidth="1"/>
    <col min="4116" max="4116" width="12.5" style="156" bestFit="1" customWidth="1"/>
    <col min="4117" max="4352" width="9" style="156"/>
    <col min="4353" max="4353" width="8.5" style="156" customWidth="1"/>
    <col min="4354" max="4354" width="11.125" style="156" customWidth="1"/>
    <col min="4355" max="4355" width="10.25" style="156" bestFit="1" customWidth="1"/>
    <col min="4356" max="4357" width="11" style="156" customWidth="1"/>
    <col min="4358" max="4358" width="11.375" style="156" customWidth="1"/>
    <col min="4359" max="4360" width="10.25" style="156" bestFit="1" customWidth="1"/>
    <col min="4361" max="4361" width="8.125" style="156" bestFit="1" customWidth="1"/>
    <col min="4362" max="4362" width="13.125" style="156" bestFit="1" customWidth="1"/>
    <col min="4363" max="4364" width="12.375" style="156" customWidth="1"/>
    <col min="4365" max="4365" width="11.5" style="156" bestFit="1" customWidth="1"/>
    <col min="4366" max="4366" width="12.625" style="156" bestFit="1" customWidth="1"/>
    <col min="4367" max="4367" width="5.5" style="156" customWidth="1"/>
    <col min="4368" max="4369" width="9" style="156"/>
    <col min="4370" max="4371" width="11.125" style="156" customWidth="1"/>
    <col min="4372" max="4372" width="12.5" style="156" bestFit="1" customWidth="1"/>
    <col min="4373" max="4608" width="9" style="156"/>
    <col min="4609" max="4609" width="8.5" style="156" customWidth="1"/>
    <col min="4610" max="4610" width="11.125" style="156" customWidth="1"/>
    <col min="4611" max="4611" width="10.25" style="156" bestFit="1" customWidth="1"/>
    <col min="4612" max="4613" width="11" style="156" customWidth="1"/>
    <col min="4614" max="4614" width="11.375" style="156" customWidth="1"/>
    <col min="4615" max="4616" width="10.25" style="156" bestFit="1" customWidth="1"/>
    <col min="4617" max="4617" width="8.125" style="156" bestFit="1" customWidth="1"/>
    <col min="4618" max="4618" width="13.125" style="156" bestFit="1" customWidth="1"/>
    <col min="4619" max="4620" width="12.375" style="156" customWidth="1"/>
    <col min="4621" max="4621" width="11.5" style="156" bestFit="1" customWidth="1"/>
    <col min="4622" max="4622" width="12.625" style="156" bestFit="1" customWidth="1"/>
    <col min="4623" max="4623" width="5.5" style="156" customWidth="1"/>
    <col min="4624" max="4625" width="9" style="156"/>
    <col min="4626" max="4627" width="11.125" style="156" customWidth="1"/>
    <col min="4628" max="4628" width="12.5" style="156" bestFit="1" customWidth="1"/>
    <col min="4629" max="4864" width="9" style="156"/>
    <col min="4865" max="4865" width="8.5" style="156" customWidth="1"/>
    <col min="4866" max="4866" width="11.125" style="156" customWidth="1"/>
    <col min="4867" max="4867" width="10.25" style="156" bestFit="1" customWidth="1"/>
    <col min="4868" max="4869" width="11" style="156" customWidth="1"/>
    <col min="4870" max="4870" width="11.375" style="156" customWidth="1"/>
    <col min="4871" max="4872" width="10.25" style="156" bestFit="1" customWidth="1"/>
    <col min="4873" max="4873" width="8.125" style="156" bestFit="1" customWidth="1"/>
    <col min="4874" max="4874" width="13.125" style="156" bestFit="1" customWidth="1"/>
    <col min="4875" max="4876" width="12.375" style="156" customWidth="1"/>
    <col min="4877" max="4877" width="11.5" style="156" bestFit="1" customWidth="1"/>
    <col min="4878" max="4878" width="12.625" style="156" bestFit="1" customWidth="1"/>
    <col min="4879" max="4879" width="5.5" style="156" customWidth="1"/>
    <col min="4880" max="4881" width="9" style="156"/>
    <col min="4882" max="4883" width="11.125" style="156" customWidth="1"/>
    <col min="4884" max="4884" width="12.5" style="156" bestFit="1" customWidth="1"/>
    <col min="4885" max="5120" width="9" style="156"/>
    <col min="5121" max="5121" width="8.5" style="156" customWidth="1"/>
    <col min="5122" max="5122" width="11.125" style="156" customWidth="1"/>
    <col min="5123" max="5123" width="10.25" style="156" bestFit="1" customWidth="1"/>
    <col min="5124" max="5125" width="11" style="156" customWidth="1"/>
    <col min="5126" max="5126" width="11.375" style="156" customWidth="1"/>
    <col min="5127" max="5128" width="10.25" style="156" bestFit="1" customWidth="1"/>
    <col min="5129" max="5129" width="8.125" style="156" bestFit="1" customWidth="1"/>
    <col min="5130" max="5130" width="13.125" style="156" bestFit="1" customWidth="1"/>
    <col min="5131" max="5132" width="12.375" style="156" customWidth="1"/>
    <col min="5133" max="5133" width="11.5" style="156" bestFit="1" customWidth="1"/>
    <col min="5134" max="5134" width="12.625" style="156" bestFit="1" customWidth="1"/>
    <col min="5135" max="5135" width="5.5" style="156" customWidth="1"/>
    <col min="5136" max="5137" width="9" style="156"/>
    <col min="5138" max="5139" width="11.125" style="156" customWidth="1"/>
    <col min="5140" max="5140" width="12.5" style="156" bestFit="1" customWidth="1"/>
    <col min="5141" max="5376" width="9" style="156"/>
    <col min="5377" max="5377" width="8.5" style="156" customWidth="1"/>
    <col min="5378" max="5378" width="11.125" style="156" customWidth="1"/>
    <col min="5379" max="5379" width="10.25" style="156" bestFit="1" customWidth="1"/>
    <col min="5380" max="5381" width="11" style="156" customWidth="1"/>
    <col min="5382" max="5382" width="11.375" style="156" customWidth="1"/>
    <col min="5383" max="5384" width="10.25" style="156" bestFit="1" customWidth="1"/>
    <col min="5385" max="5385" width="8.125" style="156" bestFit="1" customWidth="1"/>
    <col min="5386" max="5386" width="13.125" style="156" bestFit="1" customWidth="1"/>
    <col min="5387" max="5388" width="12.375" style="156" customWidth="1"/>
    <col min="5389" max="5389" width="11.5" style="156" bestFit="1" customWidth="1"/>
    <col min="5390" max="5390" width="12.625" style="156" bestFit="1" customWidth="1"/>
    <col min="5391" max="5391" width="5.5" style="156" customWidth="1"/>
    <col min="5392" max="5393" width="9" style="156"/>
    <col min="5394" max="5395" width="11.125" style="156" customWidth="1"/>
    <col min="5396" max="5396" width="12.5" style="156" bestFit="1" customWidth="1"/>
    <col min="5397" max="5632" width="9" style="156"/>
    <col min="5633" max="5633" width="8.5" style="156" customWidth="1"/>
    <col min="5634" max="5634" width="11.125" style="156" customWidth="1"/>
    <col min="5635" max="5635" width="10.25" style="156" bestFit="1" customWidth="1"/>
    <col min="5636" max="5637" width="11" style="156" customWidth="1"/>
    <col min="5638" max="5638" width="11.375" style="156" customWidth="1"/>
    <col min="5639" max="5640" width="10.25" style="156" bestFit="1" customWidth="1"/>
    <col min="5641" max="5641" width="8.125" style="156" bestFit="1" customWidth="1"/>
    <col min="5642" max="5642" width="13.125" style="156" bestFit="1" customWidth="1"/>
    <col min="5643" max="5644" width="12.375" style="156" customWidth="1"/>
    <col min="5645" max="5645" width="11.5" style="156" bestFit="1" customWidth="1"/>
    <col min="5646" max="5646" width="12.625" style="156" bestFit="1" customWidth="1"/>
    <col min="5647" max="5647" width="5.5" style="156" customWidth="1"/>
    <col min="5648" max="5649" width="9" style="156"/>
    <col min="5650" max="5651" width="11.125" style="156" customWidth="1"/>
    <col min="5652" max="5652" width="12.5" style="156" bestFit="1" customWidth="1"/>
    <col min="5653" max="5888" width="9" style="156"/>
    <col min="5889" max="5889" width="8.5" style="156" customWidth="1"/>
    <col min="5890" max="5890" width="11.125" style="156" customWidth="1"/>
    <col min="5891" max="5891" width="10.25" style="156" bestFit="1" customWidth="1"/>
    <col min="5892" max="5893" width="11" style="156" customWidth="1"/>
    <col min="5894" max="5894" width="11.375" style="156" customWidth="1"/>
    <col min="5895" max="5896" width="10.25" style="156" bestFit="1" customWidth="1"/>
    <col min="5897" max="5897" width="8.125" style="156" bestFit="1" customWidth="1"/>
    <col min="5898" max="5898" width="13.125" style="156" bestFit="1" customWidth="1"/>
    <col min="5899" max="5900" width="12.375" style="156" customWidth="1"/>
    <col min="5901" max="5901" width="11.5" style="156" bestFit="1" customWidth="1"/>
    <col min="5902" max="5902" width="12.625" style="156" bestFit="1" customWidth="1"/>
    <col min="5903" max="5903" width="5.5" style="156" customWidth="1"/>
    <col min="5904" max="5905" width="9" style="156"/>
    <col min="5906" max="5907" width="11.125" style="156" customWidth="1"/>
    <col min="5908" max="5908" width="12.5" style="156" bestFit="1" customWidth="1"/>
    <col min="5909" max="6144" width="9" style="156"/>
    <col min="6145" max="6145" width="8.5" style="156" customWidth="1"/>
    <col min="6146" max="6146" width="11.125" style="156" customWidth="1"/>
    <col min="6147" max="6147" width="10.25" style="156" bestFit="1" customWidth="1"/>
    <col min="6148" max="6149" width="11" style="156" customWidth="1"/>
    <col min="6150" max="6150" width="11.375" style="156" customWidth="1"/>
    <col min="6151" max="6152" width="10.25" style="156" bestFit="1" customWidth="1"/>
    <col min="6153" max="6153" width="8.125" style="156" bestFit="1" customWidth="1"/>
    <col min="6154" max="6154" width="13.125" style="156" bestFit="1" customWidth="1"/>
    <col min="6155" max="6156" width="12.375" style="156" customWidth="1"/>
    <col min="6157" max="6157" width="11.5" style="156" bestFit="1" customWidth="1"/>
    <col min="6158" max="6158" width="12.625" style="156" bestFit="1" customWidth="1"/>
    <col min="6159" max="6159" width="5.5" style="156" customWidth="1"/>
    <col min="6160" max="6161" width="9" style="156"/>
    <col min="6162" max="6163" width="11.125" style="156" customWidth="1"/>
    <col min="6164" max="6164" width="12.5" style="156" bestFit="1" customWidth="1"/>
    <col min="6165" max="6400" width="9" style="156"/>
    <col min="6401" max="6401" width="8.5" style="156" customWidth="1"/>
    <col min="6402" max="6402" width="11.125" style="156" customWidth="1"/>
    <col min="6403" max="6403" width="10.25" style="156" bestFit="1" customWidth="1"/>
    <col min="6404" max="6405" width="11" style="156" customWidth="1"/>
    <col min="6406" max="6406" width="11.375" style="156" customWidth="1"/>
    <col min="6407" max="6408" width="10.25" style="156" bestFit="1" customWidth="1"/>
    <col min="6409" max="6409" width="8.125" style="156" bestFit="1" customWidth="1"/>
    <col min="6410" max="6410" width="13.125" style="156" bestFit="1" customWidth="1"/>
    <col min="6411" max="6412" width="12.375" style="156" customWidth="1"/>
    <col min="6413" max="6413" width="11.5" style="156" bestFit="1" customWidth="1"/>
    <col min="6414" max="6414" width="12.625" style="156" bestFit="1" customWidth="1"/>
    <col min="6415" max="6415" width="5.5" style="156" customWidth="1"/>
    <col min="6416" max="6417" width="9" style="156"/>
    <col min="6418" max="6419" width="11.125" style="156" customWidth="1"/>
    <col min="6420" max="6420" width="12.5" style="156" bestFit="1" customWidth="1"/>
    <col min="6421" max="6656" width="9" style="156"/>
    <col min="6657" max="6657" width="8.5" style="156" customWidth="1"/>
    <col min="6658" max="6658" width="11.125" style="156" customWidth="1"/>
    <col min="6659" max="6659" width="10.25" style="156" bestFit="1" customWidth="1"/>
    <col min="6660" max="6661" width="11" style="156" customWidth="1"/>
    <col min="6662" max="6662" width="11.375" style="156" customWidth="1"/>
    <col min="6663" max="6664" width="10.25" style="156" bestFit="1" customWidth="1"/>
    <col min="6665" max="6665" width="8.125" style="156" bestFit="1" customWidth="1"/>
    <col min="6666" max="6666" width="13.125" style="156" bestFit="1" customWidth="1"/>
    <col min="6667" max="6668" width="12.375" style="156" customWidth="1"/>
    <col min="6669" max="6669" width="11.5" style="156" bestFit="1" customWidth="1"/>
    <col min="6670" max="6670" width="12.625" style="156" bestFit="1" customWidth="1"/>
    <col min="6671" max="6671" width="5.5" style="156" customWidth="1"/>
    <col min="6672" max="6673" width="9" style="156"/>
    <col min="6674" max="6675" width="11.125" style="156" customWidth="1"/>
    <col min="6676" max="6676" width="12.5" style="156" bestFit="1" customWidth="1"/>
    <col min="6677" max="6912" width="9" style="156"/>
    <col min="6913" max="6913" width="8.5" style="156" customWidth="1"/>
    <col min="6914" max="6914" width="11.125" style="156" customWidth="1"/>
    <col min="6915" max="6915" width="10.25" style="156" bestFit="1" customWidth="1"/>
    <col min="6916" max="6917" width="11" style="156" customWidth="1"/>
    <col min="6918" max="6918" width="11.375" style="156" customWidth="1"/>
    <col min="6919" max="6920" width="10.25" style="156" bestFit="1" customWidth="1"/>
    <col min="6921" max="6921" width="8.125" style="156" bestFit="1" customWidth="1"/>
    <col min="6922" max="6922" width="13.125" style="156" bestFit="1" customWidth="1"/>
    <col min="6923" max="6924" width="12.375" style="156" customWidth="1"/>
    <col min="6925" max="6925" width="11.5" style="156" bestFit="1" customWidth="1"/>
    <col min="6926" max="6926" width="12.625" style="156" bestFit="1" customWidth="1"/>
    <col min="6927" max="6927" width="5.5" style="156" customWidth="1"/>
    <col min="6928" max="6929" width="9" style="156"/>
    <col min="6930" max="6931" width="11.125" style="156" customWidth="1"/>
    <col min="6932" max="6932" width="12.5" style="156" bestFit="1" customWidth="1"/>
    <col min="6933" max="7168" width="9" style="156"/>
    <col min="7169" max="7169" width="8.5" style="156" customWidth="1"/>
    <col min="7170" max="7170" width="11.125" style="156" customWidth="1"/>
    <col min="7171" max="7171" width="10.25" style="156" bestFit="1" customWidth="1"/>
    <col min="7172" max="7173" width="11" style="156" customWidth="1"/>
    <col min="7174" max="7174" width="11.375" style="156" customWidth="1"/>
    <col min="7175" max="7176" width="10.25" style="156" bestFit="1" customWidth="1"/>
    <col min="7177" max="7177" width="8.125" style="156" bestFit="1" customWidth="1"/>
    <col min="7178" max="7178" width="13.125" style="156" bestFit="1" customWidth="1"/>
    <col min="7179" max="7180" width="12.375" style="156" customWidth="1"/>
    <col min="7181" max="7181" width="11.5" style="156" bestFit="1" customWidth="1"/>
    <col min="7182" max="7182" width="12.625" style="156" bestFit="1" customWidth="1"/>
    <col min="7183" max="7183" width="5.5" style="156" customWidth="1"/>
    <col min="7184" max="7185" width="9" style="156"/>
    <col min="7186" max="7187" width="11.125" style="156" customWidth="1"/>
    <col min="7188" max="7188" width="12.5" style="156" bestFit="1" customWidth="1"/>
    <col min="7189" max="7424" width="9" style="156"/>
    <col min="7425" max="7425" width="8.5" style="156" customWidth="1"/>
    <col min="7426" max="7426" width="11.125" style="156" customWidth="1"/>
    <col min="7427" max="7427" width="10.25" style="156" bestFit="1" customWidth="1"/>
    <col min="7428" max="7429" width="11" style="156" customWidth="1"/>
    <col min="7430" max="7430" width="11.375" style="156" customWidth="1"/>
    <col min="7431" max="7432" width="10.25" style="156" bestFit="1" customWidth="1"/>
    <col min="7433" max="7433" width="8.125" style="156" bestFit="1" customWidth="1"/>
    <col min="7434" max="7434" width="13.125" style="156" bestFit="1" customWidth="1"/>
    <col min="7435" max="7436" width="12.375" style="156" customWidth="1"/>
    <col min="7437" max="7437" width="11.5" style="156" bestFit="1" customWidth="1"/>
    <col min="7438" max="7438" width="12.625" style="156" bestFit="1" customWidth="1"/>
    <col min="7439" max="7439" width="5.5" style="156" customWidth="1"/>
    <col min="7440" max="7441" width="9" style="156"/>
    <col min="7442" max="7443" width="11.125" style="156" customWidth="1"/>
    <col min="7444" max="7444" width="12.5" style="156" bestFit="1" customWidth="1"/>
    <col min="7445" max="7680" width="9" style="156"/>
    <col min="7681" max="7681" width="8.5" style="156" customWidth="1"/>
    <col min="7682" max="7682" width="11.125" style="156" customWidth="1"/>
    <col min="7683" max="7683" width="10.25" style="156" bestFit="1" customWidth="1"/>
    <col min="7684" max="7685" width="11" style="156" customWidth="1"/>
    <col min="7686" max="7686" width="11.375" style="156" customWidth="1"/>
    <col min="7687" max="7688" width="10.25" style="156" bestFit="1" customWidth="1"/>
    <col min="7689" max="7689" width="8.125" style="156" bestFit="1" customWidth="1"/>
    <col min="7690" max="7690" width="13.125" style="156" bestFit="1" customWidth="1"/>
    <col min="7691" max="7692" width="12.375" style="156" customWidth="1"/>
    <col min="7693" max="7693" width="11.5" style="156" bestFit="1" customWidth="1"/>
    <col min="7694" max="7694" width="12.625" style="156" bestFit="1" customWidth="1"/>
    <col min="7695" max="7695" width="5.5" style="156" customWidth="1"/>
    <col min="7696" max="7697" width="9" style="156"/>
    <col min="7698" max="7699" width="11.125" style="156" customWidth="1"/>
    <col min="7700" max="7700" width="12.5" style="156" bestFit="1" customWidth="1"/>
    <col min="7701" max="7936" width="9" style="156"/>
    <col min="7937" max="7937" width="8.5" style="156" customWidth="1"/>
    <col min="7938" max="7938" width="11.125" style="156" customWidth="1"/>
    <col min="7939" max="7939" width="10.25" style="156" bestFit="1" customWidth="1"/>
    <col min="7940" max="7941" width="11" style="156" customWidth="1"/>
    <col min="7942" max="7942" width="11.375" style="156" customWidth="1"/>
    <col min="7943" max="7944" width="10.25" style="156" bestFit="1" customWidth="1"/>
    <col min="7945" max="7945" width="8.125" style="156" bestFit="1" customWidth="1"/>
    <col min="7946" max="7946" width="13.125" style="156" bestFit="1" customWidth="1"/>
    <col min="7947" max="7948" width="12.375" style="156" customWidth="1"/>
    <col min="7949" max="7949" width="11.5" style="156" bestFit="1" customWidth="1"/>
    <col min="7950" max="7950" width="12.625" style="156" bestFit="1" customWidth="1"/>
    <col min="7951" max="7951" width="5.5" style="156" customWidth="1"/>
    <col min="7952" max="7953" width="9" style="156"/>
    <col min="7954" max="7955" width="11.125" style="156" customWidth="1"/>
    <col min="7956" max="7956" width="12.5" style="156" bestFit="1" customWidth="1"/>
    <col min="7957" max="8192" width="9" style="156"/>
    <col min="8193" max="8193" width="8.5" style="156" customWidth="1"/>
    <col min="8194" max="8194" width="11.125" style="156" customWidth="1"/>
    <col min="8195" max="8195" width="10.25" style="156" bestFit="1" customWidth="1"/>
    <col min="8196" max="8197" width="11" style="156" customWidth="1"/>
    <col min="8198" max="8198" width="11.375" style="156" customWidth="1"/>
    <col min="8199" max="8200" width="10.25" style="156" bestFit="1" customWidth="1"/>
    <col min="8201" max="8201" width="8.125" style="156" bestFit="1" customWidth="1"/>
    <col min="8202" max="8202" width="13.125" style="156" bestFit="1" customWidth="1"/>
    <col min="8203" max="8204" width="12.375" style="156" customWidth="1"/>
    <col min="8205" max="8205" width="11.5" style="156" bestFit="1" customWidth="1"/>
    <col min="8206" max="8206" width="12.625" style="156" bestFit="1" customWidth="1"/>
    <col min="8207" max="8207" width="5.5" style="156" customWidth="1"/>
    <col min="8208" max="8209" width="9" style="156"/>
    <col min="8210" max="8211" width="11.125" style="156" customWidth="1"/>
    <col min="8212" max="8212" width="12.5" style="156" bestFit="1" customWidth="1"/>
    <col min="8213" max="8448" width="9" style="156"/>
    <col min="8449" max="8449" width="8.5" style="156" customWidth="1"/>
    <col min="8450" max="8450" width="11.125" style="156" customWidth="1"/>
    <col min="8451" max="8451" width="10.25" style="156" bestFit="1" customWidth="1"/>
    <col min="8452" max="8453" width="11" style="156" customWidth="1"/>
    <col min="8454" max="8454" width="11.375" style="156" customWidth="1"/>
    <col min="8455" max="8456" width="10.25" style="156" bestFit="1" customWidth="1"/>
    <col min="8457" max="8457" width="8.125" style="156" bestFit="1" customWidth="1"/>
    <col min="8458" max="8458" width="13.125" style="156" bestFit="1" customWidth="1"/>
    <col min="8459" max="8460" width="12.375" style="156" customWidth="1"/>
    <col min="8461" max="8461" width="11.5" style="156" bestFit="1" customWidth="1"/>
    <col min="8462" max="8462" width="12.625" style="156" bestFit="1" customWidth="1"/>
    <col min="8463" max="8463" width="5.5" style="156" customWidth="1"/>
    <col min="8464" max="8465" width="9" style="156"/>
    <col min="8466" max="8467" width="11.125" style="156" customWidth="1"/>
    <col min="8468" max="8468" width="12.5" style="156" bestFit="1" customWidth="1"/>
    <col min="8469" max="8704" width="9" style="156"/>
    <col min="8705" max="8705" width="8.5" style="156" customWidth="1"/>
    <col min="8706" max="8706" width="11.125" style="156" customWidth="1"/>
    <col min="8707" max="8707" width="10.25" style="156" bestFit="1" customWidth="1"/>
    <col min="8708" max="8709" width="11" style="156" customWidth="1"/>
    <col min="8710" max="8710" width="11.375" style="156" customWidth="1"/>
    <col min="8711" max="8712" width="10.25" style="156" bestFit="1" customWidth="1"/>
    <col min="8713" max="8713" width="8.125" style="156" bestFit="1" customWidth="1"/>
    <col min="8714" max="8714" width="13.125" style="156" bestFit="1" customWidth="1"/>
    <col min="8715" max="8716" width="12.375" style="156" customWidth="1"/>
    <col min="8717" max="8717" width="11.5" style="156" bestFit="1" customWidth="1"/>
    <col min="8718" max="8718" width="12.625" style="156" bestFit="1" customWidth="1"/>
    <col min="8719" max="8719" width="5.5" style="156" customWidth="1"/>
    <col min="8720" max="8721" width="9" style="156"/>
    <col min="8722" max="8723" width="11.125" style="156" customWidth="1"/>
    <col min="8724" max="8724" width="12.5" style="156" bestFit="1" customWidth="1"/>
    <col min="8725" max="8960" width="9" style="156"/>
    <col min="8961" max="8961" width="8.5" style="156" customWidth="1"/>
    <col min="8962" max="8962" width="11.125" style="156" customWidth="1"/>
    <col min="8963" max="8963" width="10.25" style="156" bestFit="1" customWidth="1"/>
    <col min="8964" max="8965" width="11" style="156" customWidth="1"/>
    <col min="8966" max="8966" width="11.375" style="156" customWidth="1"/>
    <col min="8967" max="8968" width="10.25" style="156" bestFit="1" customWidth="1"/>
    <col min="8969" max="8969" width="8.125" style="156" bestFit="1" customWidth="1"/>
    <col min="8970" max="8970" width="13.125" style="156" bestFit="1" customWidth="1"/>
    <col min="8971" max="8972" width="12.375" style="156" customWidth="1"/>
    <col min="8973" max="8973" width="11.5" style="156" bestFit="1" customWidth="1"/>
    <col min="8974" max="8974" width="12.625" style="156" bestFit="1" customWidth="1"/>
    <col min="8975" max="8975" width="5.5" style="156" customWidth="1"/>
    <col min="8976" max="8977" width="9" style="156"/>
    <col min="8978" max="8979" width="11.125" style="156" customWidth="1"/>
    <col min="8980" max="8980" width="12.5" style="156" bestFit="1" customWidth="1"/>
    <col min="8981" max="9216" width="9" style="156"/>
    <col min="9217" max="9217" width="8.5" style="156" customWidth="1"/>
    <col min="9218" max="9218" width="11.125" style="156" customWidth="1"/>
    <col min="9219" max="9219" width="10.25" style="156" bestFit="1" customWidth="1"/>
    <col min="9220" max="9221" width="11" style="156" customWidth="1"/>
    <col min="9222" max="9222" width="11.375" style="156" customWidth="1"/>
    <col min="9223" max="9224" width="10.25" style="156" bestFit="1" customWidth="1"/>
    <col min="9225" max="9225" width="8.125" style="156" bestFit="1" customWidth="1"/>
    <col min="9226" max="9226" width="13.125" style="156" bestFit="1" customWidth="1"/>
    <col min="9227" max="9228" width="12.375" style="156" customWidth="1"/>
    <col min="9229" max="9229" width="11.5" style="156" bestFit="1" customWidth="1"/>
    <col min="9230" max="9230" width="12.625" style="156" bestFit="1" customWidth="1"/>
    <col min="9231" max="9231" width="5.5" style="156" customWidth="1"/>
    <col min="9232" max="9233" width="9" style="156"/>
    <col min="9234" max="9235" width="11.125" style="156" customWidth="1"/>
    <col min="9236" max="9236" width="12.5" style="156" bestFit="1" customWidth="1"/>
    <col min="9237" max="9472" width="9" style="156"/>
    <col min="9473" max="9473" width="8.5" style="156" customWidth="1"/>
    <col min="9474" max="9474" width="11.125" style="156" customWidth="1"/>
    <col min="9475" max="9475" width="10.25" style="156" bestFit="1" customWidth="1"/>
    <col min="9476" max="9477" width="11" style="156" customWidth="1"/>
    <col min="9478" max="9478" width="11.375" style="156" customWidth="1"/>
    <col min="9479" max="9480" width="10.25" style="156" bestFit="1" customWidth="1"/>
    <col min="9481" max="9481" width="8.125" style="156" bestFit="1" customWidth="1"/>
    <col min="9482" max="9482" width="13.125" style="156" bestFit="1" customWidth="1"/>
    <col min="9483" max="9484" width="12.375" style="156" customWidth="1"/>
    <col min="9485" max="9485" width="11.5" style="156" bestFit="1" customWidth="1"/>
    <col min="9486" max="9486" width="12.625" style="156" bestFit="1" customWidth="1"/>
    <col min="9487" max="9487" width="5.5" style="156" customWidth="1"/>
    <col min="9488" max="9489" width="9" style="156"/>
    <col min="9490" max="9491" width="11.125" style="156" customWidth="1"/>
    <col min="9492" max="9492" width="12.5" style="156" bestFit="1" customWidth="1"/>
    <col min="9493" max="9728" width="9" style="156"/>
    <col min="9729" max="9729" width="8.5" style="156" customWidth="1"/>
    <col min="9730" max="9730" width="11.125" style="156" customWidth="1"/>
    <col min="9731" max="9731" width="10.25" style="156" bestFit="1" customWidth="1"/>
    <col min="9732" max="9733" width="11" style="156" customWidth="1"/>
    <col min="9734" max="9734" width="11.375" style="156" customWidth="1"/>
    <col min="9735" max="9736" width="10.25" style="156" bestFit="1" customWidth="1"/>
    <col min="9737" max="9737" width="8.125" style="156" bestFit="1" customWidth="1"/>
    <col min="9738" max="9738" width="13.125" style="156" bestFit="1" customWidth="1"/>
    <col min="9739" max="9740" width="12.375" style="156" customWidth="1"/>
    <col min="9741" max="9741" width="11.5" style="156" bestFit="1" customWidth="1"/>
    <col min="9742" max="9742" width="12.625" style="156" bestFit="1" customWidth="1"/>
    <col min="9743" max="9743" width="5.5" style="156" customWidth="1"/>
    <col min="9744" max="9745" width="9" style="156"/>
    <col min="9746" max="9747" width="11.125" style="156" customWidth="1"/>
    <col min="9748" max="9748" width="12.5" style="156" bestFit="1" customWidth="1"/>
    <col min="9749" max="9984" width="9" style="156"/>
    <col min="9985" max="9985" width="8.5" style="156" customWidth="1"/>
    <col min="9986" max="9986" width="11.125" style="156" customWidth="1"/>
    <col min="9987" max="9987" width="10.25" style="156" bestFit="1" customWidth="1"/>
    <col min="9988" max="9989" width="11" style="156" customWidth="1"/>
    <col min="9990" max="9990" width="11.375" style="156" customWidth="1"/>
    <col min="9991" max="9992" width="10.25" style="156" bestFit="1" customWidth="1"/>
    <col min="9993" max="9993" width="8.125" style="156" bestFit="1" customWidth="1"/>
    <col min="9994" max="9994" width="13.125" style="156" bestFit="1" customWidth="1"/>
    <col min="9995" max="9996" width="12.375" style="156" customWidth="1"/>
    <col min="9997" max="9997" width="11.5" style="156" bestFit="1" customWidth="1"/>
    <col min="9998" max="9998" width="12.625" style="156" bestFit="1" customWidth="1"/>
    <col min="9999" max="9999" width="5.5" style="156" customWidth="1"/>
    <col min="10000" max="10001" width="9" style="156"/>
    <col min="10002" max="10003" width="11.125" style="156" customWidth="1"/>
    <col min="10004" max="10004" width="12.5" style="156" bestFit="1" customWidth="1"/>
    <col min="10005" max="10240" width="9" style="156"/>
    <col min="10241" max="10241" width="8.5" style="156" customWidth="1"/>
    <col min="10242" max="10242" width="11.125" style="156" customWidth="1"/>
    <col min="10243" max="10243" width="10.25" style="156" bestFit="1" customWidth="1"/>
    <col min="10244" max="10245" width="11" style="156" customWidth="1"/>
    <col min="10246" max="10246" width="11.375" style="156" customWidth="1"/>
    <col min="10247" max="10248" width="10.25" style="156" bestFit="1" customWidth="1"/>
    <col min="10249" max="10249" width="8.125" style="156" bestFit="1" customWidth="1"/>
    <col min="10250" max="10250" width="13.125" style="156" bestFit="1" customWidth="1"/>
    <col min="10251" max="10252" width="12.375" style="156" customWidth="1"/>
    <col min="10253" max="10253" width="11.5" style="156" bestFit="1" customWidth="1"/>
    <col min="10254" max="10254" width="12.625" style="156" bestFit="1" customWidth="1"/>
    <col min="10255" max="10255" width="5.5" style="156" customWidth="1"/>
    <col min="10256" max="10257" width="9" style="156"/>
    <col min="10258" max="10259" width="11.125" style="156" customWidth="1"/>
    <col min="10260" max="10260" width="12.5" style="156" bestFit="1" customWidth="1"/>
    <col min="10261" max="10496" width="9" style="156"/>
    <col min="10497" max="10497" width="8.5" style="156" customWidth="1"/>
    <col min="10498" max="10498" width="11.125" style="156" customWidth="1"/>
    <col min="10499" max="10499" width="10.25" style="156" bestFit="1" customWidth="1"/>
    <col min="10500" max="10501" width="11" style="156" customWidth="1"/>
    <col min="10502" max="10502" width="11.375" style="156" customWidth="1"/>
    <col min="10503" max="10504" width="10.25" style="156" bestFit="1" customWidth="1"/>
    <col min="10505" max="10505" width="8.125" style="156" bestFit="1" customWidth="1"/>
    <col min="10506" max="10506" width="13.125" style="156" bestFit="1" customWidth="1"/>
    <col min="10507" max="10508" width="12.375" style="156" customWidth="1"/>
    <col min="10509" max="10509" width="11.5" style="156" bestFit="1" customWidth="1"/>
    <col min="10510" max="10510" width="12.625" style="156" bestFit="1" customWidth="1"/>
    <col min="10511" max="10511" width="5.5" style="156" customWidth="1"/>
    <col min="10512" max="10513" width="9" style="156"/>
    <col min="10514" max="10515" width="11.125" style="156" customWidth="1"/>
    <col min="10516" max="10516" width="12.5" style="156" bestFit="1" customWidth="1"/>
    <col min="10517" max="10752" width="9" style="156"/>
    <col min="10753" max="10753" width="8.5" style="156" customWidth="1"/>
    <col min="10754" max="10754" width="11.125" style="156" customWidth="1"/>
    <col min="10755" max="10755" width="10.25" style="156" bestFit="1" customWidth="1"/>
    <col min="10756" max="10757" width="11" style="156" customWidth="1"/>
    <col min="10758" max="10758" width="11.375" style="156" customWidth="1"/>
    <col min="10759" max="10760" width="10.25" style="156" bestFit="1" customWidth="1"/>
    <col min="10761" max="10761" width="8.125" style="156" bestFit="1" customWidth="1"/>
    <col min="10762" max="10762" width="13.125" style="156" bestFit="1" customWidth="1"/>
    <col min="10763" max="10764" width="12.375" style="156" customWidth="1"/>
    <col min="10765" max="10765" width="11.5" style="156" bestFit="1" customWidth="1"/>
    <col min="10766" max="10766" width="12.625" style="156" bestFit="1" customWidth="1"/>
    <col min="10767" max="10767" width="5.5" style="156" customWidth="1"/>
    <col min="10768" max="10769" width="9" style="156"/>
    <col min="10770" max="10771" width="11.125" style="156" customWidth="1"/>
    <col min="10772" max="10772" width="12.5" style="156" bestFit="1" customWidth="1"/>
    <col min="10773" max="11008" width="9" style="156"/>
    <col min="11009" max="11009" width="8.5" style="156" customWidth="1"/>
    <col min="11010" max="11010" width="11.125" style="156" customWidth="1"/>
    <col min="11011" max="11011" width="10.25" style="156" bestFit="1" customWidth="1"/>
    <col min="11012" max="11013" width="11" style="156" customWidth="1"/>
    <col min="11014" max="11014" width="11.375" style="156" customWidth="1"/>
    <col min="11015" max="11016" width="10.25" style="156" bestFit="1" customWidth="1"/>
    <col min="11017" max="11017" width="8.125" style="156" bestFit="1" customWidth="1"/>
    <col min="11018" max="11018" width="13.125" style="156" bestFit="1" customWidth="1"/>
    <col min="11019" max="11020" width="12.375" style="156" customWidth="1"/>
    <col min="11021" max="11021" width="11.5" style="156" bestFit="1" customWidth="1"/>
    <col min="11022" max="11022" width="12.625" style="156" bestFit="1" customWidth="1"/>
    <col min="11023" max="11023" width="5.5" style="156" customWidth="1"/>
    <col min="11024" max="11025" width="9" style="156"/>
    <col min="11026" max="11027" width="11.125" style="156" customWidth="1"/>
    <col min="11028" max="11028" width="12.5" style="156" bestFit="1" customWidth="1"/>
    <col min="11029" max="11264" width="9" style="156"/>
    <col min="11265" max="11265" width="8.5" style="156" customWidth="1"/>
    <col min="11266" max="11266" width="11.125" style="156" customWidth="1"/>
    <col min="11267" max="11267" width="10.25" style="156" bestFit="1" customWidth="1"/>
    <col min="11268" max="11269" width="11" style="156" customWidth="1"/>
    <col min="11270" max="11270" width="11.375" style="156" customWidth="1"/>
    <col min="11271" max="11272" width="10.25" style="156" bestFit="1" customWidth="1"/>
    <col min="11273" max="11273" width="8.125" style="156" bestFit="1" customWidth="1"/>
    <col min="11274" max="11274" width="13.125" style="156" bestFit="1" customWidth="1"/>
    <col min="11275" max="11276" width="12.375" style="156" customWidth="1"/>
    <col min="11277" max="11277" width="11.5" style="156" bestFit="1" customWidth="1"/>
    <col min="11278" max="11278" width="12.625" style="156" bestFit="1" customWidth="1"/>
    <col min="11279" max="11279" width="5.5" style="156" customWidth="1"/>
    <col min="11280" max="11281" width="9" style="156"/>
    <col min="11282" max="11283" width="11.125" style="156" customWidth="1"/>
    <col min="11284" max="11284" width="12.5" style="156" bestFit="1" customWidth="1"/>
    <col min="11285" max="11520" width="9" style="156"/>
    <col min="11521" max="11521" width="8.5" style="156" customWidth="1"/>
    <col min="11522" max="11522" width="11.125" style="156" customWidth="1"/>
    <col min="11523" max="11523" width="10.25" style="156" bestFit="1" customWidth="1"/>
    <col min="11524" max="11525" width="11" style="156" customWidth="1"/>
    <col min="11526" max="11526" width="11.375" style="156" customWidth="1"/>
    <col min="11527" max="11528" width="10.25" style="156" bestFit="1" customWidth="1"/>
    <col min="11529" max="11529" width="8.125" style="156" bestFit="1" customWidth="1"/>
    <col min="11530" max="11530" width="13.125" style="156" bestFit="1" customWidth="1"/>
    <col min="11531" max="11532" width="12.375" style="156" customWidth="1"/>
    <col min="11533" max="11533" width="11.5" style="156" bestFit="1" customWidth="1"/>
    <col min="11534" max="11534" width="12.625" style="156" bestFit="1" customWidth="1"/>
    <col min="11535" max="11535" width="5.5" style="156" customWidth="1"/>
    <col min="11536" max="11537" width="9" style="156"/>
    <col min="11538" max="11539" width="11.125" style="156" customWidth="1"/>
    <col min="11540" max="11540" width="12.5" style="156" bestFit="1" customWidth="1"/>
    <col min="11541" max="11776" width="9" style="156"/>
    <col min="11777" max="11777" width="8.5" style="156" customWidth="1"/>
    <col min="11778" max="11778" width="11.125" style="156" customWidth="1"/>
    <col min="11779" max="11779" width="10.25" style="156" bestFit="1" customWidth="1"/>
    <col min="11780" max="11781" width="11" style="156" customWidth="1"/>
    <col min="11782" max="11782" width="11.375" style="156" customWidth="1"/>
    <col min="11783" max="11784" width="10.25" style="156" bestFit="1" customWidth="1"/>
    <col min="11785" max="11785" width="8.125" style="156" bestFit="1" customWidth="1"/>
    <col min="11786" max="11786" width="13.125" style="156" bestFit="1" customWidth="1"/>
    <col min="11787" max="11788" width="12.375" style="156" customWidth="1"/>
    <col min="11789" max="11789" width="11.5" style="156" bestFit="1" customWidth="1"/>
    <col min="11790" max="11790" width="12.625" style="156" bestFit="1" customWidth="1"/>
    <col min="11791" max="11791" width="5.5" style="156" customWidth="1"/>
    <col min="11792" max="11793" width="9" style="156"/>
    <col min="11794" max="11795" width="11.125" style="156" customWidth="1"/>
    <col min="11796" max="11796" width="12.5" style="156" bestFit="1" customWidth="1"/>
    <col min="11797" max="12032" width="9" style="156"/>
    <col min="12033" max="12033" width="8.5" style="156" customWidth="1"/>
    <col min="12034" max="12034" width="11.125" style="156" customWidth="1"/>
    <col min="12035" max="12035" width="10.25" style="156" bestFit="1" customWidth="1"/>
    <col min="12036" max="12037" width="11" style="156" customWidth="1"/>
    <col min="12038" max="12038" width="11.375" style="156" customWidth="1"/>
    <col min="12039" max="12040" width="10.25" style="156" bestFit="1" customWidth="1"/>
    <col min="12041" max="12041" width="8.125" style="156" bestFit="1" customWidth="1"/>
    <col min="12042" max="12042" width="13.125" style="156" bestFit="1" customWidth="1"/>
    <col min="12043" max="12044" width="12.375" style="156" customWidth="1"/>
    <col min="12045" max="12045" width="11.5" style="156" bestFit="1" customWidth="1"/>
    <col min="12046" max="12046" width="12.625" style="156" bestFit="1" customWidth="1"/>
    <col min="12047" max="12047" width="5.5" style="156" customWidth="1"/>
    <col min="12048" max="12049" width="9" style="156"/>
    <col min="12050" max="12051" width="11.125" style="156" customWidth="1"/>
    <col min="12052" max="12052" width="12.5" style="156" bestFit="1" customWidth="1"/>
    <col min="12053" max="12288" width="9" style="156"/>
    <col min="12289" max="12289" width="8.5" style="156" customWidth="1"/>
    <col min="12290" max="12290" width="11.125" style="156" customWidth="1"/>
    <col min="12291" max="12291" width="10.25" style="156" bestFit="1" customWidth="1"/>
    <col min="12292" max="12293" width="11" style="156" customWidth="1"/>
    <col min="12294" max="12294" width="11.375" style="156" customWidth="1"/>
    <col min="12295" max="12296" width="10.25" style="156" bestFit="1" customWidth="1"/>
    <col min="12297" max="12297" width="8.125" style="156" bestFit="1" customWidth="1"/>
    <col min="12298" max="12298" width="13.125" style="156" bestFit="1" customWidth="1"/>
    <col min="12299" max="12300" width="12.375" style="156" customWidth="1"/>
    <col min="12301" max="12301" width="11.5" style="156" bestFit="1" customWidth="1"/>
    <col min="12302" max="12302" width="12.625" style="156" bestFit="1" customWidth="1"/>
    <col min="12303" max="12303" width="5.5" style="156" customWidth="1"/>
    <col min="12304" max="12305" width="9" style="156"/>
    <col min="12306" max="12307" width="11.125" style="156" customWidth="1"/>
    <col min="12308" max="12308" width="12.5" style="156" bestFit="1" customWidth="1"/>
    <col min="12309" max="12544" width="9" style="156"/>
    <col min="12545" max="12545" width="8.5" style="156" customWidth="1"/>
    <col min="12546" max="12546" width="11.125" style="156" customWidth="1"/>
    <col min="12547" max="12547" width="10.25" style="156" bestFit="1" customWidth="1"/>
    <col min="12548" max="12549" width="11" style="156" customWidth="1"/>
    <col min="12550" max="12550" width="11.375" style="156" customWidth="1"/>
    <col min="12551" max="12552" width="10.25" style="156" bestFit="1" customWidth="1"/>
    <col min="12553" max="12553" width="8.125" style="156" bestFit="1" customWidth="1"/>
    <col min="12554" max="12554" width="13.125" style="156" bestFit="1" customWidth="1"/>
    <col min="12555" max="12556" width="12.375" style="156" customWidth="1"/>
    <col min="12557" max="12557" width="11.5" style="156" bestFit="1" customWidth="1"/>
    <col min="12558" max="12558" width="12.625" style="156" bestFit="1" customWidth="1"/>
    <col min="12559" max="12559" width="5.5" style="156" customWidth="1"/>
    <col min="12560" max="12561" width="9" style="156"/>
    <col min="12562" max="12563" width="11.125" style="156" customWidth="1"/>
    <col min="12564" max="12564" width="12.5" style="156" bestFit="1" customWidth="1"/>
    <col min="12565" max="12800" width="9" style="156"/>
    <col min="12801" max="12801" width="8.5" style="156" customWidth="1"/>
    <col min="12802" max="12802" width="11.125" style="156" customWidth="1"/>
    <col min="12803" max="12803" width="10.25" style="156" bestFit="1" customWidth="1"/>
    <col min="12804" max="12805" width="11" style="156" customWidth="1"/>
    <col min="12806" max="12806" width="11.375" style="156" customWidth="1"/>
    <col min="12807" max="12808" width="10.25" style="156" bestFit="1" customWidth="1"/>
    <col min="12809" max="12809" width="8.125" style="156" bestFit="1" customWidth="1"/>
    <col min="12810" max="12810" width="13.125" style="156" bestFit="1" customWidth="1"/>
    <col min="12811" max="12812" width="12.375" style="156" customWidth="1"/>
    <col min="12813" max="12813" width="11.5" style="156" bestFit="1" customWidth="1"/>
    <col min="12814" max="12814" width="12.625" style="156" bestFit="1" customWidth="1"/>
    <col min="12815" max="12815" width="5.5" style="156" customWidth="1"/>
    <col min="12816" max="12817" width="9" style="156"/>
    <col min="12818" max="12819" width="11.125" style="156" customWidth="1"/>
    <col min="12820" max="12820" width="12.5" style="156" bestFit="1" customWidth="1"/>
    <col min="12821" max="13056" width="9" style="156"/>
    <col min="13057" max="13057" width="8.5" style="156" customWidth="1"/>
    <col min="13058" max="13058" width="11.125" style="156" customWidth="1"/>
    <col min="13059" max="13059" width="10.25" style="156" bestFit="1" customWidth="1"/>
    <col min="13060" max="13061" width="11" style="156" customWidth="1"/>
    <col min="13062" max="13062" width="11.375" style="156" customWidth="1"/>
    <col min="13063" max="13064" width="10.25" style="156" bestFit="1" customWidth="1"/>
    <col min="13065" max="13065" width="8.125" style="156" bestFit="1" customWidth="1"/>
    <col min="13066" max="13066" width="13.125" style="156" bestFit="1" customWidth="1"/>
    <col min="13067" max="13068" width="12.375" style="156" customWidth="1"/>
    <col min="13069" max="13069" width="11.5" style="156" bestFit="1" customWidth="1"/>
    <col min="13070" max="13070" width="12.625" style="156" bestFit="1" customWidth="1"/>
    <col min="13071" max="13071" width="5.5" style="156" customWidth="1"/>
    <col min="13072" max="13073" width="9" style="156"/>
    <col min="13074" max="13075" width="11.125" style="156" customWidth="1"/>
    <col min="13076" max="13076" width="12.5" style="156" bestFit="1" customWidth="1"/>
    <col min="13077" max="13312" width="9" style="156"/>
    <col min="13313" max="13313" width="8.5" style="156" customWidth="1"/>
    <col min="13314" max="13314" width="11.125" style="156" customWidth="1"/>
    <col min="13315" max="13315" width="10.25" style="156" bestFit="1" customWidth="1"/>
    <col min="13316" max="13317" width="11" style="156" customWidth="1"/>
    <col min="13318" max="13318" width="11.375" style="156" customWidth="1"/>
    <col min="13319" max="13320" width="10.25" style="156" bestFit="1" customWidth="1"/>
    <col min="13321" max="13321" width="8.125" style="156" bestFit="1" customWidth="1"/>
    <col min="13322" max="13322" width="13.125" style="156" bestFit="1" customWidth="1"/>
    <col min="13323" max="13324" width="12.375" style="156" customWidth="1"/>
    <col min="13325" max="13325" width="11.5" style="156" bestFit="1" customWidth="1"/>
    <col min="13326" max="13326" width="12.625" style="156" bestFit="1" customWidth="1"/>
    <col min="13327" max="13327" width="5.5" style="156" customWidth="1"/>
    <col min="13328" max="13329" width="9" style="156"/>
    <col min="13330" max="13331" width="11.125" style="156" customWidth="1"/>
    <col min="13332" max="13332" width="12.5" style="156" bestFit="1" customWidth="1"/>
    <col min="13333" max="13568" width="9" style="156"/>
    <col min="13569" max="13569" width="8.5" style="156" customWidth="1"/>
    <col min="13570" max="13570" width="11.125" style="156" customWidth="1"/>
    <col min="13571" max="13571" width="10.25" style="156" bestFit="1" customWidth="1"/>
    <col min="13572" max="13573" width="11" style="156" customWidth="1"/>
    <col min="13574" max="13574" width="11.375" style="156" customWidth="1"/>
    <col min="13575" max="13576" width="10.25" style="156" bestFit="1" customWidth="1"/>
    <col min="13577" max="13577" width="8.125" style="156" bestFit="1" customWidth="1"/>
    <col min="13578" max="13578" width="13.125" style="156" bestFit="1" customWidth="1"/>
    <col min="13579" max="13580" width="12.375" style="156" customWidth="1"/>
    <col min="13581" max="13581" width="11.5" style="156" bestFit="1" customWidth="1"/>
    <col min="13582" max="13582" width="12.625" style="156" bestFit="1" customWidth="1"/>
    <col min="13583" max="13583" width="5.5" style="156" customWidth="1"/>
    <col min="13584" max="13585" width="9" style="156"/>
    <col min="13586" max="13587" width="11.125" style="156" customWidth="1"/>
    <col min="13588" max="13588" width="12.5" style="156" bestFit="1" customWidth="1"/>
    <col min="13589" max="13824" width="9" style="156"/>
    <col min="13825" max="13825" width="8.5" style="156" customWidth="1"/>
    <col min="13826" max="13826" width="11.125" style="156" customWidth="1"/>
    <col min="13827" max="13827" width="10.25" style="156" bestFit="1" customWidth="1"/>
    <col min="13828" max="13829" width="11" style="156" customWidth="1"/>
    <col min="13830" max="13830" width="11.375" style="156" customWidth="1"/>
    <col min="13831" max="13832" width="10.25" style="156" bestFit="1" customWidth="1"/>
    <col min="13833" max="13833" width="8.125" style="156" bestFit="1" customWidth="1"/>
    <col min="13834" max="13834" width="13.125" style="156" bestFit="1" customWidth="1"/>
    <col min="13835" max="13836" width="12.375" style="156" customWidth="1"/>
    <col min="13837" max="13837" width="11.5" style="156" bestFit="1" customWidth="1"/>
    <col min="13838" max="13838" width="12.625" style="156" bestFit="1" customWidth="1"/>
    <col min="13839" max="13839" width="5.5" style="156" customWidth="1"/>
    <col min="13840" max="13841" width="9" style="156"/>
    <col min="13842" max="13843" width="11.125" style="156" customWidth="1"/>
    <col min="13844" max="13844" width="12.5" style="156" bestFit="1" customWidth="1"/>
    <col min="13845" max="14080" width="9" style="156"/>
    <col min="14081" max="14081" width="8.5" style="156" customWidth="1"/>
    <col min="14082" max="14082" width="11.125" style="156" customWidth="1"/>
    <col min="14083" max="14083" width="10.25" style="156" bestFit="1" customWidth="1"/>
    <col min="14084" max="14085" width="11" style="156" customWidth="1"/>
    <col min="14086" max="14086" width="11.375" style="156" customWidth="1"/>
    <col min="14087" max="14088" width="10.25" style="156" bestFit="1" customWidth="1"/>
    <col min="14089" max="14089" width="8.125" style="156" bestFit="1" customWidth="1"/>
    <col min="14090" max="14090" width="13.125" style="156" bestFit="1" customWidth="1"/>
    <col min="14091" max="14092" width="12.375" style="156" customWidth="1"/>
    <col min="14093" max="14093" width="11.5" style="156" bestFit="1" customWidth="1"/>
    <col min="14094" max="14094" width="12.625" style="156" bestFit="1" customWidth="1"/>
    <col min="14095" max="14095" width="5.5" style="156" customWidth="1"/>
    <col min="14096" max="14097" width="9" style="156"/>
    <col min="14098" max="14099" width="11.125" style="156" customWidth="1"/>
    <col min="14100" max="14100" width="12.5" style="156" bestFit="1" customWidth="1"/>
    <col min="14101" max="14336" width="9" style="156"/>
    <col min="14337" max="14337" width="8.5" style="156" customWidth="1"/>
    <col min="14338" max="14338" width="11.125" style="156" customWidth="1"/>
    <col min="14339" max="14339" width="10.25" style="156" bestFit="1" customWidth="1"/>
    <col min="14340" max="14341" width="11" style="156" customWidth="1"/>
    <col min="14342" max="14342" width="11.375" style="156" customWidth="1"/>
    <col min="14343" max="14344" width="10.25" style="156" bestFit="1" customWidth="1"/>
    <col min="14345" max="14345" width="8.125" style="156" bestFit="1" customWidth="1"/>
    <col min="14346" max="14346" width="13.125" style="156" bestFit="1" customWidth="1"/>
    <col min="14347" max="14348" width="12.375" style="156" customWidth="1"/>
    <col min="14349" max="14349" width="11.5" style="156" bestFit="1" customWidth="1"/>
    <col min="14350" max="14350" width="12.625" style="156" bestFit="1" customWidth="1"/>
    <col min="14351" max="14351" width="5.5" style="156" customWidth="1"/>
    <col min="14352" max="14353" width="9" style="156"/>
    <col min="14354" max="14355" width="11.125" style="156" customWidth="1"/>
    <col min="14356" max="14356" width="12.5" style="156" bestFit="1" customWidth="1"/>
    <col min="14357" max="14592" width="9" style="156"/>
    <col min="14593" max="14593" width="8.5" style="156" customWidth="1"/>
    <col min="14594" max="14594" width="11.125" style="156" customWidth="1"/>
    <col min="14595" max="14595" width="10.25" style="156" bestFit="1" customWidth="1"/>
    <col min="14596" max="14597" width="11" style="156" customWidth="1"/>
    <col min="14598" max="14598" width="11.375" style="156" customWidth="1"/>
    <col min="14599" max="14600" width="10.25" style="156" bestFit="1" customWidth="1"/>
    <col min="14601" max="14601" width="8.125" style="156" bestFit="1" customWidth="1"/>
    <col min="14602" max="14602" width="13.125" style="156" bestFit="1" customWidth="1"/>
    <col min="14603" max="14604" width="12.375" style="156" customWidth="1"/>
    <col min="14605" max="14605" width="11.5" style="156" bestFit="1" customWidth="1"/>
    <col min="14606" max="14606" width="12.625" style="156" bestFit="1" customWidth="1"/>
    <col min="14607" max="14607" width="5.5" style="156" customWidth="1"/>
    <col min="14608" max="14609" width="9" style="156"/>
    <col min="14610" max="14611" width="11.125" style="156" customWidth="1"/>
    <col min="14612" max="14612" width="12.5" style="156" bestFit="1" customWidth="1"/>
    <col min="14613" max="14848" width="9" style="156"/>
    <col min="14849" max="14849" width="8.5" style="156" customWidth="1"/>
    <col min="14850" max="14850" width="11.125" style="156" customWidth="1"/>
    <col min="14851" max="14851" width="10.25" style="156" bestFit="1" customWidth="1"/>
    <col min="14852" max="14853" width="11" style="156" customWidth="1"/>
    <col min="14854" max="14854" width="11.375" style="156" customWidth="1"/>
    <col min="14855" max="14856" width="10.25" style="156" bestFit="1" customWidth="1"/>
    <col min="14857" max="14857" width="8.125" style="156" bestFit="1" customWidth="1"/>
    <col min="14858" max="14858" width="13.125" style="156" bestFit="1" customWidth="1"/>
    <col min="14859" max="14860" width="12.375" style="156" customWidth="1"/>
    <col min="14861" max="14861" width="11.5" style="156" bestFit="1" customWidth="1"/>
    <col min="14862" max="14862" width="12.625" style="156" bestFit="1" customWidth="1"/>
    <col min="14863" max="14863" width="5.5" style="156" customWidth="1"/>
    <col min="14864" max="14865" width="9" style="156"/>
    <col min="14866" max="14867" width="11.125" style="156" customWidth="1"/>
    <col min="14868" max="14868" width="12.5" style="156" bestFit="1" customWidth="1"/>
    <col min="14869" max="15104" width="9" style="156"/>
    <col min="15105" max="15105" width="8.5" style="156" customWidth="1"/>
    <col min="15106" max="15106" width="11.125" style="156" customWidth="1"/>
    <col min="15107" max="15107" width="10.25" style="156" bestFit="1" customWidth="1"/>
    <col min="15108" max="15109" width="11" style="156" customWidth="1"/>
    <col min="15110" max="15110" width="11.375" style="156" customWidth="1"/>
    <col min="15111" max="15112" width="10.25" style="156" bestFit="1" customWidth="1"/>
    <col min="15113" max="15113" width="8.125" style="156" bestFit="1" customWidth="1"/>
    <col min="15114" max="15114" width="13.125" style="156" bestFit="1" customWidth="1"/>
    <col min="15115" max="15116" width="12.375" style="156" customWidth="1"/>
    <col min="15117" max="15117" width="11.5" style="156" bestFit="1" customWidth="1"/>
    <col min="15118" max="15118" width="12.625" style="156" bestFit="1" customWidth="1"/>
    <col min="15119" max="15119" width="5.5" style="156" customWidth="1"/>
    <col min="15120" max="15121" width="9" style="156"/>
    <col min="15122" max="15123" width="11.125" style="156" customWidth="1"/>
    <col min="15124" max="15124" width="12.5" style="156" bestFit="1" customWidth="1"/>
    <col min="15125" max="15360" width="9" style="156"/>
    <col min="15361" max="15361" width="8.5" style="156" customWidth="1"/>
    <col min="15362" max="15362" width="11.125" style="156" customWidth="1"/>
    <col min="15363" max="15363" width="10.25" style="156" bestFit="1" customWidth="1"/>
    <col min="15364" max="15365" width="11" style="156" customWidth="1"/>
    <col min="15366" max="15366" width="11.375" style="156" customWidth="1"/>
    <col min="15367" max="15368" width="10.25" style="156" bestFit="1" customWidth="1"/>
    <col min="15369" max="15369" width="8.125" style="156" bestFit="1" customWidth="1"/>
    <col min="15370" max="15370" width="13.125" style="156" bestFit="1" customWidth="1"/>
    <col min="15371" max="15372" width="12.375" style="156" customWidth="1"/>
    <col min="15373" max="15373" width="11.5" style="156" bestFit="1" customWidth="1"/>
    <col min="15374" max="15374" width="12.625" style="156" bestFit="1" customWidth="1"/>
    <col min="15375" max="15375" width="5.5" style="156" customWidth="1"/>
    <col min="15376" max="15377" width="9" style="156"/>
    <col min="15378" max="15379" width="11.125" style="156" customWidth="1"/>
    <col min="15380" max="15380" width="12.5" style="156" bestFit="1" customWidth="1"/>
    <col min="15381" max="15616" width="9" style="156"/>
    <col min="15617" max="15617" width="8.5" style="156" customWidth="1"/>
    <col min="15618" max="15618" width="11.125" style="156" customWidth="1"/>
    <col min="15619" max="15619" width="10.25" style="156" bestFit="1" customWidth="1"/>
    <col min="15620" max="15621" width="11" style="156" customWidth="1"/>
    <col min="15622" max="15622" width="11.375" style="156" customWidth="1"/>
    <col min="15623" max="15624" width="10.25" style="156" bestFit="1" customWidth="1"/>
    <col min="15625" max="15625" width="8.125" style="156" bestFit="1" customWidth="1"/>
    <col min="15626" max="15626" width="13.125" style="156" bestFit="1" customWidth="1"/>
    <col min="15627" max="15628" width="12.375" style="156" customWidth="1"/>
    <col min="15629" max="15629" width="11.5" style="156" bestFit="1" customWidth="1"/>
    <col min="15630" max="15630" width="12.625" style="156" bestFit="1" customWidth="1"/>
    <col min="15631" max="15631" width="5.5" style="156" customWidth="1"/>
    <col min="15632" max="15633" width="9" style="156"/>
    <col min="15634" max="15635" width="11.125" style="156" customWidth="1"/>
    <col min="15636" max="15636" width="12.5" style="156" bestFit="1" customWidth="1"/>
    <col min="15637" max="15872" width="9" style="156"/>
    <col min="15873" max="15873" width="8.5" style="156" customWidth="1"/>
    <col min="15874" max="15874" width="11.125" style="156" customWidth="1"/>
    <col min="15875" max="15875" width="10.25" style="156" bestFit="1" customWidth="1"/>
    <col min="15876" max="15877" width="11" style="156" customWidth="1"/>
    <col min="15878" max="15878" width="11.375" style="156" customWidth="1"/>
    <col min="15879" max="15880" width="10.25" style="156" bestFit="1" customWidth="1"/>
    <col min="15881" max="15881" width="8.125" style="156" bestFit="1" customWidth="1"/>
    <col min="15882" max="15882" width="13.125" style="156" bestFit="1" customWidth="1"/>
    <col min="15883" max="15884" width="12.375" style="156" customWidth="1"/>
    <col min="15885" max="15885" width="11.5" style="156" bestFit="1" customWidth="1"/>
    <col min="15886" max="15886" width="12.625" style="156" bestFit="1" customWidth="1"/>
    <col min="15887" max="15887" width="5.5" style="156" customWidth="1"/>
    <col min="15888" max="15889" width="9" style="156"/>
    <col min="15890" max="15891" width="11.125" style="156" customWidth="1"/>
    <col min="15892" max="15892" width="12.5" style="156" bestFit="1" customWidth="1"/>
    <col min="15893" max="16128" width="9" style="156"/>
    <col min="16129" max="16129" width="8.5" style="156" customWidth="1"/>
    <col min="16130" max="16130" width="11.125" style="156" customWidth="1"/>
    <col min="16131" max="16131" width="10.25" style="156" bestFit="1" customWidth="1"/>
    <col min="16132" max="16133" width="11" style="156" customWidth="1"/>
    <col min="16134" max="16134" width="11.375" style="156" customWidth="1"/>
    <col min="16135" max="16136" width="10.25" style="156" bestFit="1" customWidth="1"/>
    <col min="16137" max="16137" width="8.125" style="156" bestFit="1" customWidth="1"/>
    <col min="16138" max="16138" width="13.125" style="156" bestFit="1" customWidth="1"/>
    <col min="16139" max="16140" width="12.375" style="156" customWidth="1"/>
    <col min="16141" max="16141" width="11.5" style="156" bestFit="1" customWidth="1"/>
    <col min="16142" max="16142" width="12.625" style="156" bestFit="1" customWidth="1"/>
    <col min="16143" max="16143" width="5.5" style="156" customWidth="1"/>
    <col min="16144" max="16145" width="9" style="156"/>
    <col min="16146" max="16147" width="11.125" style="156" customWidth="1"/>
    <col min="16148" max="16148" width="12.5" style="156" bestFit="1" customWidth="1"/>
    <col min="16149" max="16384" width="9" style="156"/>
  </cols>
  <sheetData>
    <row r="1" spans="1:17" ht="36" customHeight="1">
      <c r="A1" s="1171" t="s">
        <v>617</v>
      </c>
      <c r="B1" s="1171"/>
      <c r="C1" s="1171"/>
      <c r="D1" s="1171"/>
      <c r="E1" s="1171"/>
      <c r="F1" s="1171"/>
    </row>
    <row r="2" spans="1:17" ht="15" customHeight="1">
      <c r="A2" s="159"/>
      <c r="E2" s="383" t="s">
        <v>220</v>
      </c>
      <c r="F2" s="384" t="str">
        <f>'3-1 참여기술인(등급)'!F12</f>
        <v>중급이상</v>
      </c>
      <c r="M2" s="156"/>
    </row>
    <row r="3" spans="1:17" ht="18" customHeight="1">
      <c r="A3" s="159" t="s">
        <v>527</v>
      </c>
      <c r="B3" s="158"/>
      <c r="C3" s="158"/>
      <c r="D3" s="158"/>
      <c r="E3" s="385" t="s">
        <v>221</v>
      </c>
      <c r="F3" s="384" t="str">
        <f>'3-1 참여기술인(등급)'!G12</f>
        <v>특급</v>
      </c>
      <c r="G3" s="158"/>
      <c r="H3" s="1186" t="s">
        <v>133</v>
      </c>
      <c r="I3" s="1186"/>
      <c r="J3" s="1187">
        <f>'3-2 책임기술인'!J3</f>
        <v>45972</v>
      </c>
      <c r="K3" s="1188"/>
      <c r="L3" s="386" t="s">
        <v>219</v>
      </c>
      <c r="M3" s="387">
        <f>J3-1</f>
        <v>45971</v>
      </c>
    </row>
    <row r="4" spans="1:17" ht="18" customHeight="1">
      <c r="A4" s="377" t="s">
        <v>207</v>
      </c>
      <c r="B4" s="1182" t="s">
        <v>160</v>
      </c>
      <c r="C4" s="1112"/>
      <c r="D4" s="304" t="s">
        <v>222</v>
      </c>
      <c r="E4" s="304" t="s">
        <v>161</v>
      </c>
      <c r="F4" s="304" t="s">
        <v>162</v>
      </c>
      <c r="G4" s="304" t="s">
        <v>223</v>
      </c>
      <c r="H4" s="304" t="s">
        <v>224</v>
      </c>
      <c r="I4" s="304" t="s">
        <v>225</v>
      </c>
      <c r="J4" s="304" t="s">
        <v>172</v>
      </c>
      <c r="K4" s="304" t="s">
        <v>173</v>
      </c>
      <c r="L4" s="304" t="s">
        <v>226</v>
      </c>
      <c r="M4" s="304" t="s">
        <v>227</v>
      </c>
      <c r="N4" s="337"/>
      <c r="P4" s="305"/>
      <c r="Q4" s="305"/>
    </row>
    <row r="5" spans="1:17" ht="47.25" customHeight="1">
      <c r="A5" s="1105" t="str">
        <f>'3-1 참여기술인(등급)'!D12</f>
        <v>백철수</v>
      </c>
      <c r="B5" s="1105" t="s">
        <v>228</v>
      </c>
      <c r="C5" s="1105" t="s">
        <v>523</v>
      </c>
      <c r="D5" s="624"/>
      <c r="E5" s="344"/>
      <c r="F5" s="624"/>
      <c r="G5" s="306"/>
      <c r="H5" s="306"/>
      <c r="I5" s="378">
        <v>1</v>
      </c>
      <c r="J5" s="307"/>
      <c r="K5" s="307"/>
      <c r="L5" s="308">
        <f t="shared" ref="L5:L6" si="0">IF(K5&gt;=$M$3,$M$3,K5)</f>
        <v>0</v>
      </c>
      <c r="M5" s="216" t="str">
        <f t="shared" ref="M5:M6" si="1">IF(J5="","",(L5-J5+1)*I5)</f>
        <v/>
      </c>
      <c r="N5" s="388" t="str">
        <f t="shared" ref="N5:N6" si="2">M5</f>
        <v/>
      </c>
      <c r="P5" s="305"/>
      <c r="Q5" s="305"/>
    </row>
    <row r="6" spans="1:17" ht="47.25" customHeight="1">
      <c r="A6" s="1105"/>
      <c r="B6" s="1105"/>
      <c r="C6" s="1095"/>
      <c r="D6" s="624"/>
      <c r="E6" s="344"/>
      <c r="F6" s="344"/>
      <c r="G6" s="306"/>
      <c r="H6" s="306"/>
      <c r="I6" s="378">
        <v>1</v>
      </c>
      <c r="J6" s="307"/>
      <c r="K6" s="307"/>
      <c r="L6" s="308">
        <f t="shared" si="0"/>
        <v>0</v>
      </c>
      <c r="M6" s="216" t="str">
        <f t="shared" si="1"/>
        <v/>
      </c>
      <c r="N6" s="388" t="str">
        <f t="shared" si="2"/>
        <v/>
      </c>
    </row>
    <row r="7" spans="1:17" ht="18" customHeight="1">
      <c r="A7" s="1105"/>
      <c r="B7" s="1183" t="s">
        <v>136</v>
      </c>
      <c r="C7" s="1184"/>
      <c r="D7" s="1184"/>
      <c r="E7" s="1184"/>
      <c r="F7" s="1184"/>
      <c r="G7" s="1184"/>
      <c r="H7" s="1184"/>
      <c r="I7" s="1184"/>
      <c r="J7" s="1184"/>
      <c r="K7" s="1184"/>
      <c r="L7" s="1185"/>
      <c r="M7" s="379">
        <f>SUM(M5:M6)</f>
        <v>0</v>
      </c>
      <c r="N7" s="616">
        <f>M7/30</f>
        <v>0</v>
      </c>
    </row>
    <row r="8" spans="1:17" ht="28.5" customHeight="1">
      <c r="A8" s="1105"/>
      <c r="B8" s="1176" t="s">
        <v>229</v>
      </c>
      <c r="C8" s="1177"/>
      <c r="D8" s="1177"/>
      <c r="E8" s="1177"/>
      <c r="F8" s="1177"/>
      <c r="G8" s="1177"/>
      <c r="H8" s="1177"/>
      <c r="I8" s="1177"/>
      <c r="J8" s="1177"/>
      <c r="K8" s="1177"/>
      <c r="L8" s="1178"/>
      <c r="M8" s="380">
        <v>14950</v>
      </c>
      <c r="N8" s="381" t="s">
        <v>438</v>
      </c>
    </row>
    <row r="9" spans="1:17" ht="18" customHeight="1">
      <c r="A9" s="348"/>
      <c r="B9" s="329"/>
      <c r="C9" s="329"/>
      <c r="D9" s="329"/>
      <c r="E9" s="329"/>
      <c r="F9" s="213"/>
      <c r="G9" s="213"/>
      <c r="H9" s="213"/>
      <c r="I9" s="213"/>
      <c r="J9" s="213"/>
      <c r="K9" s="213"/>
      <c r="L9" s="389"/>
      <c r="M9" s="617">
        <f>M8/365</f>
        <v>40.958904109589042</v>
      </c>
    </row>
  </sheetData>
  <mergeCells count="9">
    <mergeCell ref="A1:F1"/>
    <mergeCell ref="H3:I3"/>
    <mergeCell ref="J3:K3"/>
    <mergeCell ref="B4:C4"/>
    <mergeCell ref="A5:A8"/>
    <mergeCell ref="B5:B6"/>
    <mergeCell ref="C5:C6"/>
    <mergeCell ref="B7:L7"/>
    <mergeCell ref="B8:L8"/>
  </mergeCells>
  <phoneticPr fontId="2" type="noConversion"/>
  <printOptions horizontalCentered="1"/>
  <pageMargins left="0.11811023622047245" right="0.11811023622047245" top="0.74803149606299213" bottom="0.74803149606299213" header="0.31496062992125984" footer="0.31496062992125984"/>
  <pageSetup paperSize="9" scale="71" orientation="landscape" verticalDpi="120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T15"/>
  <sheetViews>
    <sheetView view="pageBreakPreview" zoomScaleNormal="100" zoomScaleSheetLayoutView="100" workbookViewId="0">
      <selection activeCell="A2" sqref="A2"/>
    </sheetView>
  </sheetViews>
  <sheetFormatPr defaultRowHeight="16.5"/>
  <cols>
    <col min="1" max="1" width="8.5" style="156" customWidth="1"/>
    <col min="2" max="2" width="9.25" style="156" bestFit="1" customWidth="1"/>
    <col min="3" max="3" width="10.25" style="156" bestFit="1" customWidth="1"/>
    <col min="4" max="5" width="12.75" style="156" customWidth="1"/>
    <col min="6" max="6" width="48.625" style="156" customWidth="1"/>
    <col min="7" max="7" width="10.25" style="156" bestFit="1" customWidth="1"/>
    <col min="8" max="8" width="15" style="156" bestFit="1" customWidth="1"/>
    <col min="9" max="9" width="8.125" style="156" bestFit="1" customWidth="1"/>
    <col min="10" max="10" width="13.125" style="156" bestFit="1" customWidth="1"/>
    <col min="11" max="12" width="12.375" style="156" customWidth="1"/>
    <col min="13" max="13" width="11.5" style="281" bestFit="1" customWidth="1"/>
    <col min="14" max="14" width="12.625" style="382" bestFit="1" customWidth="1"/>
    <col min="15" max="15" width="5.5" style="156" customWidth="1"/>
    <col min="16" max="17" width="9" style="280"/>
    <col min="18" max="19" width="11.125" style="280" customWidth="1"/>
    <col min="20" max="20" width="12.5" style="280" bestFit="1" customWidth="1"/>
    <col min="21" max="256" width="9" style="156"/>
    <col min="257" max="257" width="8.5" style="156" customWidth="1"/>
    <col min="258" max="258" width="11.125" style="156" customWidth="1"/>
    <col min="259" max="259" width="10.25" style="156" bestFit="1" customWidth="1"/>
    <col min="260" max="261" width="11" style="156" customWidth="1"/>
    <col min="262" max="262" width="11.375" style="156" customWidth="1"/>
    <col min="263" max="264" width="10.25" style="156" bestFit="1" customWidth="1"/>
    <col min="265" max="265" width="8.125" style="156" bestFit="1" customWidth="1"/>
    <col min="266" max="266" width="13.125" style="156" bestFit="1" customWidth="1"/>
    <col min="267" max="268" width="12.375" style="156" customWidth="1"/>
    <col min="269" max="269" width="11.5" style="156" bestFit="1" customWidth="1"/>
    <col min="270" max="270" width="12.625" style="156" bestFit="1" customWidth="1"/>
    <col min="271" max="271" width="5.5" style="156" customWidth="1"/>
    <col min="272" max="273" width="9" style="156"/>
    <col min="274" max="275" width="11.125" style="156" customWidth="1"/>
    <col min="276" max="276" width="12.5" style="156" bestFit="1" customWidth="1"/>
    <col min="277" max="512" width="9" style="156"/>
    <col min="513" max="513" width="8.5" style="156" customWidth="1"/>
    <col min="514" max="514" width="11.125" style="156" customWidth="1"/>
    <col min="515" max="515" width="10.25" style="156" bestFit="1" customWidth="1"/>
    <col min="516" max="517" width="11" style="156" customWidth="1"/>
    <col min="518" max="518" width="11.375" style="156" customWidth="1"/>
    <col min="519" max="520" width="10.25" style="156" bestFit="1" customWidth="1"/>
    <col min="521" max="521" width="8.125" style="156" bestFit="1" customWidth="1"/>
    <col min="522" max="522" width="13.125" style="156" bestFit="1" customWidth="1"/>
    <col min="523" max="524" width="12.375" style="156" customWidth="1"/>
    <col min="525" max="525" width="11.5" style="156" bestFit="1" customWidth="1"/>
    <col min="526" max="526" width="12.625" style="156" bestFit="1" customWidth="1"/>
    <col min="527" max="527" width="5.5" style="156" customWidth="1"/>
    <col min="528" max="529" width="9" style="156"/>
    <col min="530" max="531" width="11.125" style="156" customWidth="1"/>
    <col min="532" max="532" width="12.5" style="156" bestFit="1" customWidth="1"/>
    <col min="533" max="768" width="9" style="156"/>
    <col min="769" max="769" width="8.5" style="156" customWidth="1"/>
    <col min="770" max="770" width="11.125" style="156" customWidth="1"/>
    <col min="771" max="771" width="10.25" style="156" bestFit="1" customWidth="1"/>
    <col min="772" max="773" width="11" style="156" customWidth="1"/>
    <col min="774" max="774" width="11.375" style="156" customWidth="1"/>
    <col min="775" max="776" width="10.25" style="156" bestFit="1" customWidth="1"/>
    <col min="777" max="777" width="8.125" style="156" bestFit="1" customWidth="1"/>
    <col min="778" max="778" width="13.125" style="156" bestFit="1" customWidth="1"/>
    <col min="779" max="780" width="12.375" style="156" customWidth="1"/>
    <col min="781" max="781" width="11.5" style="156" bestFit="1" customWidth="1"/>
    <col min="782" max="782" width="12.625" style="156" bestFit="1" customWidth="1"/>
    <col min="783" max="783" width="5.5" style="156" customWidth="1"/>
    <col min="784" max="785" width="9" style="156"/>
    <col min="786" max="787" width="11.125" style="156" customWidth="1"/>
    <col min="788" max="788" width="12.5" style="156" bestFit="1" customWidth="1"/>
    <col min="789" max="1024" width="9" style="156"/>
    <col min="1025" max="1025" width="8.5" style="156" customWidth="1"/>
    <col min="1026" max="1026" width="11.125" style="156" customWidth="1"/>
    <col min="1027" max="1027" width="10.25" style="156" bestFit="1" customWidth="1"/>
    <col min="1028" max="1029" width="11" style="156" customWidth="1"/>
    <col min="1030" max="1030" width="11.375" style="156" customWidth="1"/>
    <col min="1031" max="1032" width="10.25" style="156" bestFit="1" customWidth="1"/>
    <col min="1033" max="1033" width="8.125" style="156" bestFit="1" customWidth="1"/>
    <col min="1034" max="1034" width="13.125" style="156" bestFit="1" customWidth="1"/>
    <col min="1035" max="1036" width="12.375" style="156" customWidth="1"/>
    <col min="1037" max="1037" width="11.5" style="156" bestFit="1" customWidth="1"/>
    <col min="1038" max="1038" width="12.625" style="156" bestFit="1" customWidth="1"/>
    <col min="1039" max="1039" width="5.5" style="156" customWidth="1"/>
    <col min="1040" max="1041" width="9" style="156"/>
    <col min="1042" max="1043" width="11.125" style="156" customWidth="1"/>
    <col min="1044" max="1044" width="12.5" style="156" bestFit="1" customWidth="1"/>
    <col min="1045" max="1280" width="9" style="156"/>
    <col min="1281" max="1281" width="8.5" style="156" customWidth="1"/>
    <col min="1282" max="1282" width="11.125" style="156" customWidth="1"/>
    <col min="1283" max="1283" width="10.25" style="156" bestFit="1" customWidth="1"/>
    <col min="1284" max="1285" width="11" style="156" customWidth="1"/>
    <col min="1286" max="1286" width="11.375" style="156" customWidth="1"/>
    <col min="1287" max="1288" width="10.25" style="156" bestFit="1" customWidth="1"/>
    <col min="1289" max="1289" width="8.125" style="156" bestFit="1" customWidth="1"/>
    <col min="1290" max="1290" width="13.125" style="156" bestFit="1" customWidth="1"/>
    <col min="1291" max="1292" width="12.375" style="156" customWidth="1"/>
    <col min="1293" max="1293" width="11.5" style="156" bestFit="1" customWidth="1"/>
    <col min="1294" max="1294" width="12.625" style="156" bestFit="1" customWidth="1"/>
    <col min="1295" max="1295" width="5.5" style="156" customWidth="1"/>
    <col min="1296" max="1297" width="9" style="156"/>
    <col min="1298" max="1299" width="11.125" style="156" customWidth="1"/>
    <col min="1300" max="1300" width="12.5" style="156" bestFit="1" customWidth="1"/>
    <col min="1301" max="1536" width="9" style="156"/>
    <col min="1537" max="1537" width="8.5" style="156" customWidth="1"/>
    <col min="1538" max="1538" width="11.125" style="156" customWidth="1"/>
    <col min="1539" max="1539" width="10.25" style="156" bestFit="1" customWidth="1"/>
    <col min="1540" max="1541" width="11" style="156" customWidth="1"/>
    <col min="1542" max="1542" width="11.375" style="156" customWidth="1"/>
    <col min="1543" max="1544" width="10.25" style="156" bestFit="1" customWidth="1"/>
    <col min="1545" max="1545" width="8.125" style="156" bestFit="1" customWidth="1"/>
    <col min="1546" max="1546" width="13.125" style="156" bestFit="1" customWidth="1"/>
    <col min="1547" max="1548" width="12.375" style="156" customWidth="1"/>
    <col min="1549" max="1549" width="11.5" style="156" bestFit="1" customWidth="1"/>
    <col min="1550" max="1550" width="12.625" style="156" bestFit="1" customWidth="1"/>
    <col min="1551" max="1551" width="5.5" style="156" customWidth="1"/>
    <col min="1552" max="1553" width="9" style="156"/>
    <col min="1554" max="1555" width="11.125" style="156" customWidth="1"/>
    <col min="1556" max="1556" width="12.5" style="156" bestFit="1" customWidth="1"/>
    <col min="1557" max="1792" width="9" style="156"/>
    <col min="1793" max="1793" width="8.5" style="156" customWidth="1"/>
    <col min="1794" max="1794" width="11.125" style="156" customWidth="1"/>
    <col min="1795" max="1795" width="10.25" style="156" bestFit="1" customWidth="1"/>
    <col min="1796" max="1797" width="11" style="156" customWidth="1"/>
    <col min="1798" max="1798" width="11.375" style="156" customWidth="1"/>
    <col min="1799" max="1800" width="10.25" style="156" bestFit="1" customWidth="1"/>
    <col min="1801" max="1801" width="8.125" style="156" bestFit="1" customWidth="1"/>
    <col min="1802" max="1802" width="13.125" style="156" bestFit="1" customWidth="1"/>
    <col min="1803" max="1804" width="12.375" style="156" customWidth="1"/>
    <col min="1805" max="1805" width="11.5" style="156" bestFit="1" customWidth="1"/>
    <col min="1806" max="1806" width="12.625" style="156" bestFit="1" customWidth="1"/>
    <col min="1807" max="1807" width="5.5" style="156" customWidth="1"/>
    <col min="1808" max="1809" width="9" style="156"/>
    <col min="1810" max="1811" width="11.125" style="156" customWidth="1"/>
    <col min="1812" max="1812" width="12.5" style="156" bestFit="1" customWidth="1"/>
    <col min="1813" max="2048" width="9" style="156"/>
    <col min="2049" max="2049" width="8.5" style="156" customWidth="1"/>
    <col min="2050" max="2050" width="11.125" style="156" customWidth="1"/>
    <col min="2051" max="2051" width="10.25" style="156" bestFit="1" customWidth="1"/>
    <col min="2052" max="2053" width="11" style="156" customWidth="1"/>
    <col min="2054" max="2054" width="11.375" style="156" customWidth="1"/>
    <col min="2055" max="2056" width="10.25" style="156" bestFit="1" customWidth="1"/>
    <col min="2057" max="2057" width="8.125" style="156" bestFit="1" customWidth="1"/>
    <col min="2058" max="2058" width="13.125" style="156" bestFit="1" customWidth="1"/>
    <col min="2059" max="2060" width="12.375" style="156" customWidth="1"/>
    <col min="2061" max="2061" width="11.5" style="156" bestFit="1" customWidth="1"/>
    <col min="2062" max="2062" width="12.625" style="156" bestFit="1" customWidth="1"/>
    <col min="2063" max="2063" width="5.5" style="156" customWidth="1"/>
    <col min="2064" max="2065" width="9" style="156"/>
    <col min="2066" max="2067" width="11.125" style="156" customWidth="1"/>
    <col min="2068" max="2068" width="12.5" style="156" bestFit="1" customWidth="1"/>
    <col min="2069" max="2304" width="9" style="156"/>
    <col min="2305" max="2305" width="8.5" style="156" customWidth="1"/>
    <col min="2306" max="2306" width="11.125" style="156" customWidth="1"/>
    <col min="2307" max="2307" width="10.25" style="156" bestFit="1" customWidth="1"/>
    <col min="2308" max="2309" width="11" style="156" customWidth="1"/>
    <col min="2310" max="2310" width="11.375" style="156" customWidth="1"/>
    <col min="2311" max="2312" width="10.25" style="156" bestFit="1" customWidth="1"/>
    <col min="2313" max="2313" width="8.125" style="156" bestFit="1" customWidth="1"/>
    <col min="2314" max="2314" width="13.125" style="156" bestFit="1" customWidth="1"/>
    <col min="2315" max="2316" width="12.375" style="156" customWidth="1"/>
    <col min="2317" max="2317" width="11.5" style="156" bestFit="1" customWidth="1"/>
    <col min="2318" max="2318" width="12.625" style="156" bestFit="1" customWidth="1"/>
    <col min="2319" max="2319" width="5.5" style="156" customWidth="1"/>
    <col min="2320" max="2321" width="9" style="156"/>
    <col min="2322" max="2323" width="11.125" style="156" customWidth="1"/>
    <col min="2324" max="2324" width="12.5" style="156" bestFit="1" customWidth="1"/>
    <col min="2325" max="2560" width="9" style="156"/>
    <col min="2561" max="2561" width="8.5" style="156" customWidth="1"/>
    <col min="2562" max="2562" width="11.125" style="156" customWidth="1"/>
    <col min="2563" max="2563" width="10.25" style="156" bestFit="1" customWidth="1"/>
    <col min="2564" max="2565" width="11" style="156" customWidth="1"/>
    <col min="2566" max="2566" width="11.375" style="156" customWidth="1"/>
    <col min="2567" max="2568" width="10.25" style="156" bestFit="1" customWidth="1"/>
    <col min="2569" max="2569" width="8.125" style="156" bestFit="1" customWidth="1"/>
    <col min="2570" max="2570" width="13.125" style="156" bestFit="1" customWidth="1"/>
    <col min="2571" max="2572" width="12.375" style="156" customWidth="1"/>
    <col min="2573" max="2573" width="11.5" style="156" bestFit="1" customWidth="1"/>
    <col min="2574" max="2574" width="12.625" style="156" bestFit="1" customWidth="1"/>
    <col min="2575" max="2575" width="5.5" style="156" customWidth="1"/>
    <col min="2576" max="2577" width="9" style="156"/>
    <col min="2578" max="2579" width="11.125" style="156" customWidth="1"/>
    <col min="2580" max="2580" width="12.5" style="156" bestFit="1" customWidth="1"/>
    <col min="2581" max="2816" width="9" style="156"/>
    <col min="2817" max="2817" width="8.5" style="156" customWidth="1"/>
    <col min="2818" max="2818" width="11.125" style="156" customWidth="1"/>
    <col min="2819" max="2819" width="10.25" style="156" bestFit="1" customWidth="1"/>
    <col min="2820" max="2821" width="11" style="156" customWidth="1"/>
    <col min="2822" max="2822" width="11.375" style="156" customWidth="1"/>
    <col min="2823" max="2824" width="10.25" style="156" bestFit="1" customWidth="1"/>
    <col min="2825" max="2825" width="8.125" style="156" bestFit="1" customWidth="1"/>
    <col min="2826" max="2826" width="13.125" style="156" bestFit="1" customWidth="1"/>
    <col min="2827" max="2828" width="12.375" style="156" customWidth="1"/>
    <col min="2829" max="2829" width="11.5" style="156" bestFit="1" customWidth="1"/>
    <col min="2830" max="2830" width="12.625" style="156" bestFit="1" customWidth="1"/>
    <col min="2831" max="2831" width="5.5" style="156" customWidth="1"/>
    <col min="2832" max="2833" width="9" style="156"/>
    <col min="2834" max="2835" width="11.125" style="156" customWidth="1"/>
    <col min="2836" max="2836" width="12.5" style="156" bestFit="1" customWidth="1"/>
    <col min="2837" max="3072" width="9" style="156"/>
    <col min="3073" max="3073" width="8.5" style="156" customWidth="1"/>
    <col min="3074" max="3074" width="11.125" style="156" customWidth="1"/>
    <col min="3075" max="3075" width="10.25" style="156" bestFit="1" customWidth="1"/>
    <col min="3076" max="3077" width="11" style="156" customWidth="1"/>
    <col min="3078" max="3078" width="11.375" style="156" customWidth="1"/>
    <col min="3079" max="3080" width="10.25" style="156" bestFit="1" customWidth="1"/>
    <col min="3081" max="3081" width="8.125" style="156" bestFit="1" customWidth="1"/>
    <col min="3082" max="3082" width="13.125" style="156" bestFit="1" customWidth="1"/>
    <col min="3083" max="3084" width="12.375" style="156" customWidth="1"/>
    <col min="3085" max="3085" width="11.5" style="156" bestFit="1" customWidth="1"/>
    <col min="3086" max="3086" width="12.625" style="156" bestFit="1" customWidth="1"/>
    <col min="3087" max="3087" width="5.5" style="156" customWidth="1"/>
    <col min="3088" max="3089" width="9" style="156"/>
    <col min="3090" max="3091" width="11.125" style="156" customWidth="1"/>
    <col min="3092" max="3092" width="12.5" style="156" bestFit="1" customWidth="1"/>
    <col min="3093" max="3328" width="9" style="156"/>
    <col min="3329" max="3329" width="8.5" style="156" customWidth="1"/>
    <col min="3330" max="3330" width="11.125" style="156" customWidth="1"/>
    <col min="3331" max="3331" width="10.25" style="156" bestFit="1" customWidth="1"/>
    <col min="3332" max="3333" width="11" style="156" customWidth="1"/>
    <col min="3334" max="3334" width="11.375" style="156" customWidth="1"/>
    <col min="3335" max="3336" width="10.25" style="156" bestFit="1" customWidth="1"/>
    <col min="3337" max="3337" width="8.125" style="156" bestFit="1" customWidth="1"/>
    <col min="3338" max="3338" width="13.125" style="156" bestFit="1" customWidth="1"/>
    <col min="3339" max="3340" width="12.375" style="156" customWidth="1"/>
    <col min="3341" max="3341" width="11.5" style="156" bestFit="1" customWidth="1"/>
    <col min="3342" max="3342" width="12.625" style="156" bestFit="1" customWidth="1"/>
    <col min="3343" max="3343" width="5.5" style="156" customWidth="1"/>
    <col min="3344" max="3345" width="9" style="156"/>
    <col min="3346" max="3347" width="11.125" style="156" customWidth="1"/>
    <col min="3348" max="3348" width="12.5" style="156" bestFit="1" customWidth="1"/>
    <col min="3349" max="3584" width="9" style="156"/>
    <col min="3585" max="3585" width="8.5" style="156" customWidth="1"/>
    <col min="3586" max="3586" width="11.125" style="156" customWidth="1"/>
    <col min="3587" max="3587" width="10.25" style="156" bestFit="1" customWidth="1"/>
    <col min="3588" max="3589" width="11" style="156" customWidth="1"/>
    <col min="3590" max="3590" width="11.375" style="156" customWidth="1"/>
    <col min="3591" max="3592" width="10.25" style="156" bestFit="1" customWidth="1"/>
    <col min="3593" max="3593" width="8.125" style="156" bestFit="1" customWidth="1"/>
    <col min="3594" max="3594" width="13.125" style="156" bestFit="1" customWidth="1"/>
    <col min="3595" max="3596" width="12.375" style="156" customWidth="1"/>
    <col min="3597" max="3597" width="11.5" style="156" bestFit="1" customWidth="1"/>
    <col min="3598" max="3598" width="12.625" style="156" bestFit="1" customWidth="1"/>
    <col min="3599" max="3599" width="5.5" style="156" customWidth="1"/>
    <col min="3600" max="3601" width="9" style="156"/>
    <col min="3602" max="3603" width="11.125" style="156" customWidth="1"/>
    <col min="3604" max="3604" width="12.5" style="156" bestFit="1" customWidth="1"/>
    <col min="3605" max="3840" width="9" style="156"/>
    <col min="3841" max="3841" width="8.5" style="156" customWidth="1"/>
    <col min="3842" max="3842" width="11.125" style="156" customWidth="1"/>
    <col min="3843" max="3843" width="10.25" style="156" bestFit="1" customWidth="1"/>
    <col min="3844" max="3845" width="11" style="156" customWidth="1"/>
    <col min="3846" max="3846" width="11.375" style="156" customWidth="1"/>
    <col min="3847" max="3848" width="10.25" style="156" bestFit="1" customWidth="1"/>
    <col min="3849" max="3849" width="8.125" style="156" bestFit="1" customWidth="1"/>
    <col min="3850" max="3850" width="13.125" style="156" bestFit="1" customWidth="1"/>
    <col min="3851" max="3852" width="12.375" style="156" customWidth="1"/>
    <col min="3853" max="3853" width="11.5" style="156" bestFit="1" customWidth="1"/>
    <col min="3854" max="3854" width="12.625" style="156" bestFit="1" customWidth="1"/>
    <col min="3855" max="3855" width="5.5" style="156" customWidth="1"/>
    <col min="3856" max="3857" width="9" style="156"/>
    <col min="3858" max="3859" width="11.125" style="156" customWidth="1"/>
    <col min="3860" max="3860" width="12.5" style="156" bestFit="1" customWidth="1"/>
    <col min="3861" max="4096" width="9" style="156"/>
    <col min="4097" max="4097" width="8.5" style="156" customWidth="1"/>
    <col min="4098" max="4098" width="11.125" style="156" customWidth="1"/>
    <col min="4099" max="4099" width="10.25" style="156" bestFit="1" customWidth="1"/>
    <col min="4100" max="4101" width="11" style="156" customWidth="1"/>
    <col min="4102" max="4102" width="11.375" style="156" customWidth="1"/>
    <col min="4103" max="4104" width="10.25" style="156" bestFit="1" customWidth="1"/>
    <col min="4105" max="4105" width="8.125" style="156" bestFit="1" customWidth="1"/>
    <col min="4106" max="4106" width="13.125" style="156" bestFit="1" customWidth="1"/>
    <col min="4107" max="4108" width="12.375" style="156" customWidth="1"/>
    <col min="4109" max="4109" width="11.5" style="156" bestFit="1" customWidth="1"/>
    <col min="4110" max="4110" width="12.625" style="156" bestFit="1" customWidth="1"/>
    <col min="4111" max="4111" width="5.5" style="156" customWidth="1"/>
    <col min="4112" max="4113" width="9" style="156"/>
    <col min="4114" max="4115" width="11.125" style="156" customWidth="1"/>
    <col min="4116" max="4116" width="12.5" style="156" bestFit="1" customWidth="1"/>
    <col min="4117" max="4352" width="9" style="156"/>
    <col min="4353" max="4353" width="8.5" style="156" customWidth="1"/>
    <col min="4354" max="4354" width="11.125" style="156" customWidth="1"/>
    <col min="4355" max="4355" width="10.25" style="156" bestFit="1" customWidth="1"/>
    <col min="4356" max="4357" width="11" style="156" customWidth="1"/>
    <col min="4358" max="4358" width="11.375" style="156" customWidth="1"/>
    <col min="4359" max="4360" width="10.25" style="156" bestFit="1" customWidth="1"/>
    <col min="4361" max="4361" width="8.125" style="156" bestFit="1" customWidth="1"/>
    <col min="4362" max="4362" width="13.125" style="156" bestFit="1" customWidth="1"/>
    <col min="4363" max="4364" width="12.375" style="156" customWidth="1"/>
    <col min="4365" max="4365" width="11.5" style="156" bestFit="1" customWidth="1"/>
    <col min="4366" max="4366" width="12.625" style="156" bestFit="1" customWidth="1"/>
    <col min="4367" max="4367" width="5.5" style="156" customWidth="1"/>
    <col min="4368" max="4369" width="9" style="156"/>
    <col min="4370" max="4371" width="11.125" style="156" customWidth="1"/>
    <col min="4372" max="4372" width="12.5" style="156" bestFit="1" customWidth="1"/>
    <col min="4373" max="4608" width="9" style="156"/>
    <col min="4609" max="4609" width="8.5" style="156" customWidth="1"/>
    <col min="4610" max="4610" width="11.125" style="156" customWidth="1"/>
    <col min="4611" max="4611" width="10.25" style="156" bestFit="1" customWidth="1"/>
    <col min="4612" max="4613" width="11" style="156" customWidth="1"/>
    <col min="4614" max="4614" width="11.375" style="156" customWidth="1"/>
    <col min="4615" max="4616" width="10.25" style="156" bestFit="1" customWidth="1"/>
    <col min="4617" max="4617" width="8.125" style="156" bestFit="1" customWidth="1"/>
    <col min="4618" max="4618" width="13.125" style="156" bestFit="1" customWidth="1"/>
    <col min="4619" max="4620" width="12.375" style="156" customWidth="1"/>
    <col min="4621" max="4621" width="11.5" style="156" bestFit="1" customWidth="1"/>
    <col min="4622" max="4622" width="12.625" style="156" bestFit="1" customWidth="1"/>
    <col min="4623" max="4623" width="5.5" style="156" customWidth="1"/>
    <col min="4624" max="4625" width="9" style="156"/>
    <col min="4626" max="4627" width="11.125" style="156" customWidth="1"/>
    <col min="4628" max="4628" width="12.5" style="156" bestFit="1" customWidth="1"/>
    <col min="4629" max="4864" width="9" style="156"/>
    <col min="4865" max="4865" width="8.5" style="156" customWidth="1"/>
    <col min="4866" max="4866" width="11.125" style="156" customWidth="1"/>
    <col min="4867" max="4867" width="10.25" style="156" bestFit="1" customWidth="1"/>
    <col min="4868" max="4869" width="11" style="156" customWidth="1"/>
    <col min="4870" max="4870" width="11.375" style="156" customWidth="1"/>
    <col min="4871" max="4872" width="10.25" style="156" bestFit="1" customWidth="1"/>
    <col min="4873" max="4873" width="8.125" style="156" bestFit="1" customWidth="1"/>
    <col min="4874" max="4874" width="13.125" style="156" bestFit="1" customWidth="1"/>
    <col min="4875" max="4876" width="12.375" style="156" customWidth="1"/>
    <col min="4877" max="4877" width="11.5" style="156" bestFit="1" customWidth="1"/>
    <col min="4878" max="4878" width="12.625" style="156" bestFit="1" customWidth="1"/>
    <col min="4879" max="4879" width="5.5" style="156" customWidth="1"/>
    <col min="4880" max="4881" width="9" style="156"/>
    <col min="4882" max="4883" width="11.125" style="156" customWidth="1"/>
    <col min="4884" max="4884" width="12.5" style="156" bestFit="1" customWidth="1"/>
    <col min="4885" max="5120" width="9" style="156"/>
    <col min="5121" max="5121" width="8.5" style="156" customWidth="1"/>
    <col min="5122" max="5122" width="11.125" style="156" customWidth="1"/>
    <col min="5123" max="5123" width="10.25" style="156" bestFit="1" customWidth="1"/>
    <col min="5124" max="5125" width="11" style="156" customWidth="1"/>
    <col min="5126" max="5126" width="11.375" style="156" customWidth="1"/>
    <col min="5127" max="5128" width="10.25" style="156" bestFit="1" customWidth="1"/>
    <col min="5129" max="5129" width="8.125" style="156" bestFit="1" customWidth="1"/>
    <col min="5130" max="5130" width="13.125" style="156" bestFit="1" customWidth="1"/>
    <col min="5131" max="5132" width="12.375" style="156" customWidth="1"/>
    <col min="5133" max="5133" width="11.5" style="156" bestFit="1" customWidth="1"/>
    <col min="5134" max="5134" width="12.625" style="156" bestFit="1" customWidth="1"/>
    <col min="5135" max="5135" width="5.5" style="156" customWidth="1"/>
    <col min="5136" max="5137" width="9" style="156"/>
    <col min="5138" max="5139" width="11.125" style="156" customWidth="1"/>
    <col min="5140" max="5140" width="12.5" style="156" bestFit="1" customWidth="1"/>
    <col min="5141" max="5376" width="9" style="156"/>
    <col min="5377" max="5377" width="8.5" style="156" customWidth="1"/>
    <col min="5378" max="5378" width="11.125" style="156" customWidth="1"/>
    <col min="5379" max="5379" width="10.25" style="156" bestFit="1" customWidth="1"/>
    <col min="5380" max="5381" width="11" style="156" customWidth="1"/>
    <col min="5382" max="5382" width="11.375" style="156" customWidth="1"/>
    <col min="5383" max="5384" width="10.25" style="156" bestFit="1" customWidth="1"/>
    <col min="5385" max="5385" width="8.125" style="156" bestFit="1" customWidth="1"/>
    <col min="5386" max="5386" width="13.125" style="156" bestFit="1" customWidth="1"/>
    <col min="5387" max="5388" width="12.375" style="156" customWidth="1"/>
    <col min="5389" max="5389" width="11.5" style="156" bestFit="1" customWidth="1"/>
    <col min="5390" max="5390" width="12.625" style="156" bestFit="1" customWidth="1"/>
    <col min="5391" max="5391" width="5.5" style="156" customWidth="1"/>
    <col min="5392" max="5393" width="9" style="156"/>
    <col min="5394" max="5395" width="11.125" style="156" customWidth="1"/>
    <col min="5396" max="5396" width="12.5" style="156" bestFit="1" customWidth="1"/>
    <col min="5397" max="5632" width="9" style="156"/>
    <col min="5633" max="5633" width="8.5" style="156" customWidth="1"/>
    <col min="5634" max="5634" width="11.125" style="156" customWidth="1"/>
    <col min="5635" max="5635" width="10.25" style="156" bestFit="1" customWidth="1"/>
    <col min="5636" max="5637" width="11" style="156" customWidth="1"/>
    <col min="5638" max="5638" width="11.375" style="156" customWidth="1"/>
    <col min="5639" max="5640" width="10.25" style="156" bestFit="1" customWidth="1"/>
    <col min="5641" max="5641" width="8.125" style="156" bestFit="1" customWidth="1"/>
    <col min="5642" max="5642" width="13.125" style="156" bestFit="1" customWidth="1"/>
    <col min="5643" max="5644" width="12.375" style="156" customWidth="1"/>
    <col min="5645" max="5645" width="11.5" style="156" bestFit="1" customWidth="1"/>
    <col min="5646" max="5646" width="12.625" style="156" bestFit="1" customWidth="1"/>
    <col min="5647" max="5647" width="5.5" style="156" customWidth="1"/>
    <col min="5648" max="5649" width="9" style="156"/>
    <col min="5650" max="5651" width="11.125" style="156" customWidth="1"/>
    <col min="5652" max="5652" width="12.5" style="156" bestFit="1" customWidth="1"/>
    <col min="5653" max="5888" width="9" style="156"/>
    <col min="5889" max="5889" width="8.5" style="156" customWidth="1"/>
    <col min="5890" max="5890" width="11.125" style="156" customWidth="1"/>
    <col min="5891" max="5891" width="10.25" style="156" bestFit="1" customWidth="1"/>
    <col min="5892" max="5893" width="11" style="156" customWidth="1"/>
    <col min="5894" max="5894" width="11.375" style="156" customWidth="1"/>
    <col min="5895" max="5896" width="10.25" style="156" bestFit="1" customWidth="1"/>
    <col min="5897" max="5897" width="8.125" style="156" bestFit="1" customWidth="1"/>
    <col min="5898" max="5898" width="13.125" style="156" bestFit="1" customWidth="1"/>
    <col min="5899" max="5900" width="12.375" style="156" customWidth="1"/>
    <col min="5901" max="5901" width="11.5" style="156" bestFit="1" customWidth="1"/>
    <col min="5902" max="5902" width="12.625" style="156" bestFit="1" customWidth="1"/>
    <col min="5903" max="5903" width="5.5" style="156" customWidth="1"/>
    <col min="5904" max="5905" width="9" style="156"/>
    <col min="5906" max="5907" width="11.125" style="156" customWidth="1"/>
    <col min="5908" max="5908" width="12.5" style="156" bestFit="1" customWidth="1"/>
    <col min="5909" max="6144" width="9" style="156"/>
    <col min="6145" max="6145" width="8.5" style="156" customWidth="1"/>
    <col min="6146" max="6146" width="11.125" style="156" customWidth="1"/>
    <col min="6147" max="6147" width="10.25" style="156" bestFit="1" customWidth="1"/>
    <col min="6148" max="6149" width="11" style="156" customWidth="1"/>
    <col min="6150" max="6150" width="11.375" style="156" customWidth="1"/>
    <col min="6151" max="6152" width="10.25" style="156" bestFit="1" customWidth="1"/>
    <col min="6153" max="6153" width="8.125" style="156" bestFit="1" customWidth="1"/>
    <col min="6154" max="6154" width="13.125" style="156" bestFit="1" customWidth="1"/>
    <col min="6155" max="6156" width="12.375" style="156" customWidth="1"/>
    <col min="6157" max="6157" width="11.5" style="156" bestFit="1" customWidth="1"/>
    <col min="6158" max="6158" width="12.625" style="156" bestFit="1" customWidth="1"/>
    <col min="6159" max="6159" width="5.5" style="156" customWidth="1"/>
    <col min="6160" max="6161" width="9" style="156"/>
    <col min="6162" max="6163" width="11.125" style="156" customWidth="1"/>
    <col min="6164" max="6164" width="12.5" style="156" bestFit="1" customWidth="1"/>
    <col min="6165" max="6400" width="9" style="156"/>
    <col min="6401" max="6401" width="8.5" style="156" customWidth="1"/>
    <col min="6402" max="6402" width="11.125" style="156" customWidth="1"/>
    <col min="6403" max="6403" width="10.25" style="156" bestFit="1" customWidth="1"/>
    <col min="6404" max="6405" width="11" style="156" customWidth="1"/>
    <col min="6406" max="6406" width="11.375" style="156" customWidth="1"/>
    <col min="6407" max="6408" width="10.25" style="156" bestFit="1" customWidth="1"/>
    <col min="6409" max="6409" width="8.125" style="156" bestFit="1" customWidth="1"/>
    <col min="6410" max="6410" width="13.125" style="156" bestFit="1" customWidth="1"/>
    <col min="6411" max="6412" width="12.375" style="156" customWidth="1"/>
    <col min="6413" max="6413" width="11.5" style="156" bestFit="1" customWidth="1"/>
    <col min="6414" max="6414" width="12.625" style="156" bestFit="1" customWidth="1"/>
    <col min="6415" max="6415" width="5.5" style="156" customWidth="1"/>
    <col min="6416" max="6417" width="9" style="156"/>
    <col min="6418" max="6419" width="11.125" style="156" customWidth="1"/>
    <col min="6420" max="6420" width="12.5" style="156" bestFit="1" customWidth="1"/>
    <col min="6421" max="6656" width="9" style="156"/>
    <col min="6657" max="6657" width="8.5" style="156" customWidth="1"/>
    <col min="6658" max="6658" width="11.125" style="156" customWidth="1"/>
    <col min="6659" max="6659" width="10.25" style="156" bestFit="1" customWidth="1"/>
    <col min="6660" max="6661" width="11" style="156" customWidth="1"/>
    <col min="6662" max="6662" width="11.375" style="156" customWidth="1"/>
    <col min="6663" max="6664" width="10.25" style="156" bestFit="1" customWidth="1"/>
    <col min="6665" max="6665" width="8.125" style="156" bestFit="1" customWidth="1"/>
    <col min="6666" max="6666" width="13.125" style="156" bestFit="1" customWidth="1"/>
    <col min="6667" max="6668" width="12.375" style="156" customWidth="1"/>
    <col min="6669" max="6669" width="11.5" style="156" bestFit="1" customWidth="1"/>
    <col min="6670" max="6670" width="12.625" style="156" bestFit="1" customWidth="1"/>
    <col min="6671" max="6671" width="5.5" style="156" customWidth="1"/>
    <col min="6672" max="6673" width="9" style="156"/>
    <col min="6674" max="6675" width="11.125" style="156" customWidth="1"/>
    <col min="6676" max="6676" width="12.5" style="156" bestFit="1" customWidth="1"/>
    <col min="6677" max="6912" width="9" style="156"/>
    <col min="6913" max="6913" width="8.5" style="156" customWidth="1"/>
    <col min="6914" max="6914" width="11.125" style="156" customWidth="1"/>
    <col min="6915" max="6915" width="10.25" style="156" bestFit="1" customWidth="1"/>
    <col min="6916" max="6917" width="11" style="156" customWidth="1"/>
    <col min="6918" max="6918" width="11.375" style="156" customWidth="1"/>
    <col min="6919" max="6920" width="10.25" style="156" bestFit="1" customWidth="1"/>
    <col min="6921" max="6921" width="8.125" style="156" bestFit="1" customWidth="1"/>
    <col min="6922" max="6922" width="13.125" style="156" bestFit="1" customWidth="1"/>
    <col min="6923" max="6924" width="12.375" style="156" customWidth="1"/>
    <col min="6925" max="6925" width="11.5" style="156" bestFit="1" customWidth="1"/>
    <col min="6926" max="6926" width="12.625" style="156" bestFit="1" customWidth="1"/>
    <col min="6927" max="6927" width="5.5" style="156" customWidth="1"/>
    <col min="6928" max="6929" width="9" style="156"/>
    <col min="6930" max="6931" width="11.125" style="156" customWidth="1"/>
    <col min="6932" max="6932" width="12.5" style="156" bestFit="1" customWidth="1"/>
    <col min="6933" max="7168" width="9" style="156"/>
    <col min="7169" max="7169" width="8.5" style="156" customWidth="1"/>
    <col min="7170" max="7170" width="11.125" style="156" customWidth="1"/>
    <col min="7171" max="7171" width="10.25" style="156" bestFit="1" customWidth="1"/>
    <col min="7172" max="7173" width="11" style="156" customWidth="1"/>
    <col min="7174" max="7174" width="11.375" style="156" customWidth="1"/>
    <col min="7175" max="7176" width="10.25" style="156" bestFit="1" customWidth="1"/>
    <col min="7177" max="7177" width="8.125" style="156" bestFit="1" customWidth="1"/>
    <col min="7178" max="7178" width="13.125" style="156" bestFit="1" customWidth="1"/>
    <col min="7179" max="7180" width="12.375" style="156" customWidth="1"/>
    <col min="7181" max="7181" width="11.5" style="156" bestFit="1" customWidth="1"/>
    <col min="7182" max="7182" width="12.625" style="156" bestFit="1" customWidth="1"/>
    <col min="7183" max="7183" width="5.5" style="156" customWidth="1"/>
    <col min="7184" max="7185" width="9" style="156"/>
    <col min="7186" max="7187" width="11.125" style="156" customWidth="1"/>
    <col min="7188" max="7188" width="12.5" style="156" bestFit="1" customWidth="1"/>
    <col min="7189" max="7424" width="9" style="156"/>
    <col min="7425" max="7425" width="8.5" style="156" customWidth="1"/>
    <col min="7426" max="7426" width="11.125" style="156" customWidth="1"/>
    <col min="7427" max="7427" width="10.25" style="156" bestFit="1" customWidth="1"/>
    <col min="7428" max="7429" width="11" style="156" customWidth="1"/>
    <col min="7430" max="7430" width="11.375" style="156" customWidth="1"/>
    <col min="7431" max="7432" width="10.25" style="156" bestFit="1" customWidth="1"/>
    <col min="7433" max="7433" width="8.125" style="156" bestFit="1" customWidth="1"/>
    <col min="7434" max="7434" width="13.125" style="156" bestFit="1" customWidth="1"/>
    <col min="7435" max="7436" width="12.375" style="156" customWidth="1"/>
    <col min="7437" max="7437" width="11.5" style="156" bestFit="1" customWidth="1"/>
    <col min="7438" max="7438" width="12.625" style="156" bestFit="1" customWidth="1"/>
    <col min="7439" max="7439" width="5.5" style="156" customWidth="1"/>
    <col min="7440" max="7441" width="9" style="156"/>
    <col min="7442" max="7443" width="11.125" style="156" customWidth="1"/>
    <col min="7444" max="7444" width="12.5" style="156" bestFit="1" customWidth="1"/>
    <col min="7445" max="7680" width="9" style="156"/>
    <col min="7681" max="7681" width="8.5" style="156" customWidth="1"/>
    <col min="7682" max="7682" width="11.125" style="156" customWidth="1"/>
    <col min="7683" max="7683" width="10.25" style="156" bestFit="1" customWidth="1"/>
    <col min="7684" max="7685" width="11" style="156" customWidth="1"/>
    <col min="7686" max="7686" width="11.375" style="156" customWidth="1"/>
    <col min="7687" max="7688" width="10.25" style="156" bestFit="1" customWidth="1"/>
    <col min="7689" max="7689" width="8.125" style="156" bestFit="1" customWidth="1"/>
    <col min="7690" max="7690" width="13.125" style="156" bestFit="1" customWidth="1"/>
    <col min="7691" max="7692" width="12.375" style="156" customWidth="1"/>
    <col min="7693" max="7693" width="11.5" style="156" bestFit="1" customWidth="1"/>
    <col min="7694" max="7694" width="12.625" style="156" bestFit="1" customWidth="1"/>
    <col min="7695" max="7695" width="5.5" style="156" customWidth="1"/>
    <col min="7696" max="7697" width="9" style="156"/>
    <col min="7698" max="7699" width="11.125" style="156" customWidth="1"/>
    <col min="7700" max="7700" width="12.5" style="156" bestFit="1" customWidth="1"/>
    <col min="7701" max="7936" width="9" style="156"/>
    <col min="7937" max="7937" width="8.5" style="156" customWidth="1"/>
    <col min="7938" max="7938" width="11.125" style="156" customWidth="1"/>
    <col min="7939" max="7939" width="10.25" style="156" bestFit="1" customWidth="1"/>
    <col min="7940" max="7941" width="11" style="156" customWidth="1"/>
    <col min="7942" max="7942" width="11.375" style="156" customWidth="1"/>
    <col min="7943" max="7944" width="10.25" style="156" bestFit="1" customWidth="1"/>
    <col min="7945" max="7945" width="8.125" style="156" bestFit="1" customWidth="1"/>
    <col min="7946" max="7946" width="13.125" style="156" bestFit="1" customWidth="1"/>
    <col min="7947" max="7948" width="12.375" style="156" customWidth="1"/>
    <col min="7949" max="7949" width="11.5" style="156" bestFit="1" customWidth="1"/>
    <col min="7950" max="7950" width="12.625" style="156" bestFit="1" customWidth="1"/>
    <col min="7951" max="7951" width="5.5" style="156" customWidth="1"/>
    <col min="7952" max="7953" width="9" style="156"/>
    <col min="7954" max="7955" width="11.125" style="156" customWidth="1"/>
    <col min="7956" max="7956" width="12.5" style="156" bestFit="1" customWidth="1"/>
    <col min="7957" max="8192" width="9" style="156"/>
    <col min="8193" max="8193" width="8.5" style="156" customWidth="1"/>
    <col min="8194" max="8194" width="11.125" style="156" customWidth="1"/>
    <col min="8195" max="8195" width="10.25" style="156" bestFit="1" customWidth="1"/>
    <col min="8196" max="8197" width="11" style="156" customWidth="1"/>
    <col min="8198" max="8198" width="11.375" style="156" customWidth="1"/>
    <col min="8199" max="8200" width="10.25" style="156" bestFit="1" customWidth="1"/>
    <col min="8201" max="8201" width="8.125" style="156" bestFit="1" customWidth="1"/>
    <col min="8202" max="8202" width="13.125" style="156" bestFit="1" customWidth="1"/>
    <col min="8203" max="8204" width="12.375" style="156" customWidth="1"/>
    <col min="8205" max="8205" width="11.5" style="156" bestFit="1" customWidth="1"/>
    <col min="8206" max="8206" width="12.625" style="156" bestFit="1" customWidth="1"/>
    <col min="8207" max="8207" width="5.5" style="156" customWidth="1"/>
    <col min="8208" max="8209" width="9" style="156"/>
    <col min="8210" max="8211" width="11.125" style="156" customWidth="1"/>
    <col min="8212" max="8212" width="12.5" style="156" bestFit="1" customWidth="1"/>
    <col min="8213" max="8448" width="9" style="156"/>
    <col min="8449" max="8449" width="8.5" style="156" customWidth="1"/>
    <col min="8450" max="8450" width="11.125" style="156" customWidth="1"/>
    <col min="8451" max="8451" width="10.25" style="156" bestFit="1" customWidth="1"/>
    <col min="8452" max="8453" width="11" style="156" customWidth="1"/>
    <col min="8454" max="8454" width="11.375" style="156" customWidth="1"/>
    <col min="8455" max="8456" width="10.25" style="156" bestFit="1" customWidth="1"/>
    <col min="8457" max="8457" width="8.125" style="156" bestFit="1" customWidth="1"/>
    <col min="8458" max="8458" width="13.125" style="156" bestFit="1" customWidth="1"/>
    <col min="8459" max="8460" width="12.375" style="156" customWidth="1"/>
    <col min="8461" max="8461" width="11.5" style="156" bestFit="1" customWidth="1"/>
    <col min="8462" max="8462" width="12.625" style="156" bestFit="1" customWidth="1"/>
    <col min="8463" max="8463" width="5.5" style="156" customWidth="1"/>
    <col min="8464" max="8465" width="9" style="156"/>
    <col min="8466" max="8467" width="11.125" style="156" customWidth="1"/>
    <col min="8468" max="8468" width="12.5" style="156" bestFit="1" customWidth="1"/>
    <col min="8469" max="8704" width="9" style="156"/>
    <col min="8705" max="8705" width="8.5" style="156" customWidth="1"/>
    <col min="8706" max="8706" width="11.125" style="156" customWidth="1"/>
    <col min="8707" max="8707" width="10.25" style="156" bestFit="1" customWidth="1"/>
    <col min="8708" max="8709" width="11" style="156" customWidth="1"/>
    <col min="8710" max="8710" width="11.375" style="156" customWidth="1"/>
    <col min="8711" max="8712" width="10.25" style="156" bestFit="1" customWidth="1"/>
    <col min="8713" max="8713" width="8.125" style="156" bestFit="1" customWidth="1"/>
    <col min="8714" max="8714" width="13.125" style="156" bestFit="1" customWidth="1"/>
    <col min="8715" max="8716" width="12.375" style="156" customWidth="1"/>
    <col min="8717" max="8717" width="11.5" style="156" bestFit="1" customWidth="1"/>
    <col min="8718" max="8718" width="12.625" style="156" bestFit="1" customWidth="1"/>
    <col min="8719" max="8719" width="5.5" style="156" customWidth="1"/>
    <col min="8720" max="8721" width="9" style="156"/>
    <col min="8722" max="8723" width="11.125" style="156" customWidth="1"/>
    <col min="8724" max="8724" width="12.5" style="156" bestFit="1" customWidth="1"/>
    <col min="8725" max="8960" width="9" style="156"/>
    <col min="8961" max="8961" width="8.5" style="156" customWidth="1"/>
    <col min="8962" max="8962" width="11.125" style="156" customWidth="1"/>
    <col min="8963" max="8963" width="10.25" style="156" bestFit="1" customWidth="1"/>
    <col min="8964" max="8965" width="11" style="156" customWidth="1"/>
    <col min="8966" max="8966" width="11.375" style="156" customWidth="1"/>
    <col min="8967" max="8968" width="10.25" style="156" bestFit="1" customWidth="1"/>
    <col min="8969" max="8969" width="8.125" style="156" bestFit="1" customWidth="1"/>
    <col min="8970" max="8970" width="13.125" style="156" bestFit="1" customWidth="1"/>
    <col min="8971" max="8972" width="12.375" style="156" customWidth="1"/>
    <col min="8973" max="8973" width="11.5" style="156" bestFit="1" customWidth="1"/>
    <col min="8974" max="8974" width="12.625" style="156" bestFit="1" customWidth="1"/>
    <col min="8975" max="8975" width="5.5" style="156" customWidth="1"/>
    <col min="8976" max="8977" width="9" style="156"/>
    <col min="8978" max="8979" width="11.125" style="156" customWidth="1"/>
    <col min="8980" max="8980" width="12.5" style="156" bestFit="1" customWidth="1"/>
    <col min="8981" max="9216" width="9" style="156"/>
    <col min="9217" max="9217" width="8.5" style="156" customWidth="1"/>
    <col min="9218" max="9218" width="11.125" style="156" customWidth="1"/>
    <col min="9219" max="9219" width="10.25" style="156" bestFit="1" customWidth="1"/>
    <col min="9220" max="9221" width="11" style="156" customWidth="1"/>
    <col min="9222" max="9222" width="11.375" style="156" customWidth="1"/>
    <col min="9223" max="9224" width="10.25" style="156" bestFit="1" customWidth="1"/>
    <col min="9225" max="9225" width="8.125" style="156" bestFit="1" customWidth="1"/>
    <col min="9226" max="9226" width="13.125" style="156" bestFit="1" customWidth="1"/>
    <col min="9227" max="9228" width="12.375" style="156" customWidth="1"/>
    <col min="9229" max="9229" width="11.5" style="156" bestFit="1" customWidth="1"/>
    <col min="9230" max="9230" width="12.625" style="156" bestFit="1" customWidth="1"/>
    <col min="9231" max="9231" width="5.5" style="156" customWidth="1"/>
    <col min="9232" max="9233" width="9" style="156"/>
    <col min="9234" max="9235" width="11.125" style="156" customWidth="1"/>
    <col min="9236" max="9236" width="12.5" style="156" bestFit="1" customWidth="1"/>
    <col min="9237" max="9472" width="9" style="156"/>
    <col min="9473" max="9473" width="8.5" style="156" customWidth="1"/>
    <col min="9474" max="9474" width="11.125" style="156" customWidth="1"/>
    <col min="9475" max="9475" width="10.25" style="156" bestFit="1" customWidth="1"/>
    <col min="9476" max="9477" width="11" style="156" customWidth="1"/>
    <col min="9478" max="9478" width="11.375" style="156" customWidth="1"/>
    <col min="9479" max="9480" width="10.25" style="156" bestFit="1" customWidth="1"/>
    <col min="9481" max="9481" width="8.125" style="156" bestFit="1" customWidth="1"/>
    <col min="9482" max="9482" width="13.125" style="156" bestFit="1" customWidth="1"/>
    <col min="9483" max="9484" width="12.375" style="156" customWidth="1"/>
    <col min="9485" max="9485" width="11.5" style="156" bestFit="1" customWidth="1"/>
    <col min="9486" max="9486" width="12.625" style="156" bestFit="1" customWidth="1"/>
    <col min="9487" max="9487" width="5.5" style="156" customWidth="1"/>
    <col min="9488" max="9489" width="9" style="156"/>
    <col min="9490" max="9491" width="11.125" style="156" customWidth="1"/>
    <col min="9492" max="9492" width="12.5" style="156" bestFit="1" customWidth="1"/>
    <col min="9493" max="9728" width="9" style="156"/>
    <col min="9729" max="9729" width="8.5" style="156" customWidth="1"/>
    <col min="9730" max="9730" width="11.125" style="156" customWidth="1"/>
    <col min="9731" max="9731" width="10.25" style="156" bestFit="1" customWidth="1"/>
    <col min="9732" max="9733" width="11" style="156" customWidth="1"/>
    <col min="9734" max="9734" width="11.375" style="156" customWidth="1"/>
    <col min="9735" max="9736" width="10.25" style="156" bestFit="1" customWidth="1"/>
    <col min="9737" max="9737" width="8.125" style="156" bestFit="1" customWidth="1"/>
    <col min="9738" max="9738" width="13.125" style="156" bestFit="1" customWidth="1"/>
    <col min="9739" max="9740" width="12.375" style="156" customWidth="1"/>
    <col min="9741" max="9741" width="11.5" style="156" bestFit="1" customWidth="1"/>
    <col min="9742" max="9742" width="12.625" style="156" bestFit="1" customWidth="1"/>
    <col min="9743" max="9743" width="5.5" style="156" customWidth="1"/>
    <col min="9744" max="9745" width="9" style="156"/>
    <col min="9746" max="9747" width="11.125" style="156" customWidth="1"/>
    <col min="9748" max="9748" width="12.5" style="156" bestFit="1" customWidth="1"/>
    <col min="9749" max="9984" width="9" style="156"/>
    <col min="9985" max="9985" width="8.5" style="156" customWidth="1"/>
    <col min="9986" max="9986" width="11.125" style="156" customWidth="1"/>
    <col min="9987" max="9987" width="10.25" style="156" bestFit="1" customWidth="1"/>
    <col min="9988" max="9989" width="11" style="156" customWidth="1"/>
    <col min="9990" max="9990" width="11.375" style="156" customWidth="1"/>
    <col min="9991" max="9992" width="10.25" style="156" bestFit="1" customWidth="1"/>
    <col min="9993" max="9993" width="8.125" style="156" bestFit="1" customWidth="1"/>
    <col min="9994" max="9994" width="13.125" style="156" bestFit="1" customWidth="1"/>
    <col min="9995" max="9996" width="12.375" style="156" customWidth="1"/>
    <col min="9997" max="9997" width="11.5" style="156" bestFit="1" customWidth="1"/>
    <col min="9998" max="9998" width="12.625" style="156" bestFit="1" customWidth="1"/>
    <col min="9999" max="9999" width="5.5" style="156" customWidth="1"/>
    <col min="10000" max="10001" width="9" style="156"/>
    <col min="10002" max="10003" width="11.125" style="156" customWidth="1"/>
    <col min="10004" max="10004" width="12.5" style="156" bestFit="1" customWidth="1"/>
    <col min="10005" max="10240" width="9" style="156"/>
    <col min="10241" max="10241" width="8.5" style="156" customWidth="1"/>
    <col min="10242" max="10242" width="11.125" style="156" customWidth="1"/>
    <col min="10243" max="10243" width="10.25" style="156" bestFit="1" customWidth="1"/>
    <col min="10244" max="10245" width="11" style="156" customWidth="1"/>
    <col min="10246" max="10246" width="11.375" style="156" customWidth="1"/>
    <col min="10247" max="10248" width="10.25" style="156" bestFit="1" customWidth="1"/>
    <col min="10249" max="10249" width="8.125" style="156" bestFit="1" customWidth="1"/>
    <col min="10250" max="10250" width="13.125" style="156" bestFit="1" customWidth="1"/>
    <col min="10251" max="10252" width="12.375" style="156" customWidth="1"/>
    <col min="10253" max="10253" width="11.5" style="156" bestFit="1" customWidth="1"/>
    <col min="10254" max="10254" width="12.625" style="156" bestFit="1" customWidth="1"/>
    <col min="10255" max="10255" width="5.5" style="156" customWidth="1"/>
    <col min="10256" max="10257" width="9" style="156"/>
    <col min="10258" max="10259" width="11.125" style="156" customWidth="1"/>
    <col min="10260" max="10260" width="12.5" style="156" bestFit="1" customWidth="1"/>
    <col min="10261" max="10496" width="9" style="156"/>
    <col min="10497" max="10497" width="8.5" style="156" customWidth="1"/>
    <col min="10498" max="10498" width="11.125" style="156" customWidth="1"/>
    <col min="10499" max="10499" width="10.25" style="156" bestFit="1" customWidth="1"/>
    <col min="10500" max="10501" width="11" style="156" customWidth="1"/>
    <col min="10502" max="10502" width="11.375" style="156" customWidth="1"/>
    <col min="10503" max="10504" width="10.25" style="156" bestFit="1" customWidth="1"/>
    <col min="10505" max="10505" width="8.125" style="156" bestFit="1" customWidth="1"/>
    <col min="10506" max="10506" width="13.125" style="156" bestFit="1" customWidth="1"/>
    <col min="10507" max="10508" width="12.375" style="156" customWidth="1"/>
    <col min="10509" max="10509" width="11.5" style="156" bestFit="1" customWidth="1"/>
    <col min="10510" max="10510" width="12.625" style="156" bestFit="1" customWidth="1"/>
    <col min="10511" max="10511" width="5.5" style="156" customWidth="1"/>
    <col min="10512" max="10513" width="9" style="156"/>
    <col min="10514" max="10515" width="11.125" style="156" customWidth="1"/>
    <col min="10516" max="10516" width="12.5" style="156" bestFit="1" customWidth="1"/>
    <col min="10517" max="10752" width="9" style="156"/>
    <col min="10753" max="10753" width="8.5" style="156" customWidth="1"/>
    <col min="10754" max="10754" width="11.125" style="156" customWidth="1"/>
    <col min="10755" max="10755" width="10.25" style="156" bestFit="1" customWidth="1"/>
    <col min="10756" max="10757" width="11" style="156" customWidth="1"/>
    <col min="10758" max="10758" width="11.375" style="156" customWidth="1"/>
    <col min="10759" max="10760" width="10.25" style="156" bestFit="1" customWidth="1"/>
    <col min="10761" max="10761" width="8.125" style="156" bestFit="1" customWidth="1"/>
    <col min="10762" max="10762" width="13.125" style="156" bestFit="1" customWidth="1"/>
    <col min="10763" max="10764" width="12.375" style="156" customWidth="1"/>
    <col min="10765" max="10765" width="11.5" style="156" bestFit="1" customWidth="1"/>
    <col min="10766" max="10766" width="12.625" style="156" bestFit="1" customWidth="1"/>
    <col min="10767" max="10767" width="5.5" style="156" customWidth="1"/>
    <col min="10768" max="10769" width="9" style="156"/>
    <col min="10770" max="10771" width="11.125" style="156" customWidth="1"/>
    <col min="10772" max="10772" width="12.5" style="156" bestFit="1" customWidth="1"/>
    <col min="10773" max="11008" width="9" style="156"/>
    <col min="11009" max="11009" width="8.5" style="156" customWidth="1"/>
    <col min="11010" max="11010" width="11.125" style="156" customWidth="1"/>
    <col min="11011" max="11011" width="10.25" style="156" bestFit="1" customWidth="1"/>
    <col min="11012" max="11013" width="11" style="156" customWidth="1"/>
    <col min="11014" max="11014" width="11.375" style="156" customWidth="1"/>
    <col min="11015" max="11016" width="10.25" style="156" bestFit="1" customWidth="1"/>
    <col min="11017" max="11017" width="8.125" style="156" bestFit="1" customWidth="1"/>
    <col min="11018" max="11018" width="13.125" style="156" bestFit="1" customWidth="1"/>
    <col min="11019" max="11020" width="12.375" style="156" customWidth="1"/>
    <col min="11021" max="11021" width="11.5" style="156" bestFit="1" customWidth="1"/>
    <col min="11022" max="11022" width="12.625" style="156" bestFit="1" customWidth="1"/>
    <col min="11023" max="11023" width="5.5" style="156" customWidth="1"/>
    <col min="11024" max="11025" width="9" style="156"/>
    <col min="11026" max="11027" width="11.125" style="156" customWidth="1"/>
    <col min="11028" max="11028" width="12.5" style="156" bestFit="1" customWidth="1"/>
    <col min="11029" max="11264" width="9" style="156"/>
    <col min="11265" max="11265" width="8.5" style="156" customWidth="1"/>
    <col min="11266" max="11266" width="11.125" style="156" customWidth="1"/>
    <col min="11267" max="11267" width="10.25" style="156" bestFit="1" customWidth="1"/>
    <col min="11268" max="11269" width="11" style="156" customWidth="1"/>
    <col min="11270" max="11270" width="11.375" style="156" customWidth="1"/>
    <col min="11271" max="11272" width="10.25" style="156" bestFit="1" customWidth="1"/>
    <col min="11273" max="11273" width="8.125" style="156" bestFit="1" customWidth="1"/>
    <col min="11274" max="11274" width="13.125" style="156" bestFit="1" customWidth="1"/>
    <col min="11275" max="11276" width="12.375" style="156" customWidth="1"/>
    <col min="11277" max="11277" width="11.5" style="156" bestFit="1" customWidth="1"/>
    <col min="11278" max="11278" width="12.625" style="156" bestFit="1" customWidth="1"/>
    <col min="11279" max="11279" width="5.5" style="156" customWidth="1"/>
    <col min="11280" max="11281" width="9" style="156"/>
    <col min="11282" max="11283" width="11.125" style="156" customWidth="1"/>
    <col min="11284" max="11284" width="12.5" style="156" bestFit="1" customWidth="1"/>
    <col min="11285" max="11520" width="9" style="156"/>
    <col min="11521" max="11521" width="8.5" style="156" customWidth="1"/>
    <col min="11522" max="11522" width="11.125" style="156" customWidth="1"/>
    <col min="11523" max="11523" width="10.25" style="156" bestFit="1" customWidth="1"/>
    <col min="11524" max="11525" width="11" style="156" customWidth="1"/>
    <col min="11526" max="11526" width="11.375" style="156" customWidth="1"/>
    <col min="11527" max="11528" width="10.25" style="156" bestFit="1" customWidth="1"/>
    <col min="11529" max="11529" width="8.125" style="156" bestFit="1" customWidth="1"/>
    <col min="11530" max="11530" width="13.125" style="156" bestFit="1" customWidth="1"/>
    <col min="11531" max="11532" width="12.375" style="156" customWidth="1"/>
    <col min="11533" max="11533" width="11.5" style="156" bestFit="1" customWidth="1"/>
    <col min="11534" max="11534" width="12.625" style="156" bestFit="1" customWidth="1"/>
    <col min="11535" max="11535" width="5.5" style="156" customWidth="1"/>
    <col min="11536" max="11537" width="9" style="156"/>
    <col min="11538" max="11539" width="11.125" style="156" customWidth="1"/>
    <col min="11540" max="11540" width="12.5" style="156" bestFit="1" customWidth="1"/>
    <col min="11541" max="11776" width="9" style="156"/>
    <col min="11777" max="11777" width="8.5" style="156" customWidth="1"/>
    <col min="11778" max="11778" width="11.125" style="156" customWidth="1"/>
    <col min="11779" max="11779" width="10.25" style="156" bestFit="1" customWidth="1"/>
    <col min="11780" max="11781" width="11" style="156" customWidth="1"/>
    <col min="11782" max="11782" width="11.375" style="156" customWidth="1"/>
    <col min="11783" max="11784" width="10.25" style="156" bestFit="1" customWidth="1"/>
    <col min="11785" max="11785" width="8.125" style="156" bestFit="1" customWidth="1"/>
    <col min="11786" max="11786" width="13.125" style="156" bestFit="1" customWidth="1"/>
    <col min="11787" max="11788" width="12.375" style="156" customWidth="1"/>
    <col min="11789" max="11789" width="11.5" style="156" bestFit="1" customWidth="1"/>
    <col min="11790" max="11790" width="12.625" style="156" bestFit="1" customWidth="1"/>
    <col min="11791" max="11791" width="5.5" style="156" customWidth="1"/>
    <col min="11792" max="11793" width="9" style="156"/>
    <col min="11794" max="11795" width="11.125" style="156" customWidth="1"/>
    <col min="11796" max="11796" width="12.5" style="156" bestFit="1" customWidth="1"/>
    <col min="11797" max="12032" width="9" style="156"/>
    <col min="12033" max="12033" width="8.5" style="156" customWidth="1"/>
    <col min="12034" max="12034" width="11.125" style="156" customWidth="1"/>
    <col min="12035" max="12035" width="10.25" style="156" bestFit="1" customWidth="1"/>
    <col min="12036" max="12037" width="11" style="156" customWidth="1"/>
    <col min="12038" max="12038" width="11.375" style="156" customWidth="1"/>
    <col min="12039" max="12040" width="10.25" style="156" bestFit="1" customWidth="1"/>
    <col min="12041" max="12041" width="8.125" style="156" bestFit="1" customWidth="1"/>
    <col min="12042" max="12042" width="13.125" style="156" bestFit="1" customWidth="1"/>
    <col min="12043" max="12044" width="12.375" style="156" customWidth="1"/>
    <col min="12045" max="12045" width="11.5" style="156" bestFit="1" customWidth="1"/>
    <col min="12046" max="12046" width="12.625" style="156" bestFit="1" customWidth="1"/>
    <col min="12047" max="12047" width="5.5" style="156" customWidth="1"/>
    <col min="12048" max="12049" width="9" style="156"/>
    <col min="12050" max="12051" width="11.125" style="156" customWidth="1"/>
    <col min="12052" max="12052" width="12.5" style="156" bestFit="1" customWidth="1"/>
    <col min="12053" max="12288" width="9" style="156"/>
    <col min="12289" max="12289" width="8.5" style="156" customWidth="1"/>
    <col min="12290" max="12290" width="11.125" style="156" customWidth="1"/>
    <col min="12291" max="12291" width="10.25" style="156" bestFit="1" customWidth="1"/>
    <col min="12292" max="12293" width="11" style="156" customWidth="1"/>
    <col min="12294" max="12294" width="11.375" style="156" customWidth="1"/>
    <col min="12295" max="12296" width="10.25" style="156" bestFit="1" customWidth="1"/>
    <col min="12297" max="12297" width="8.125" style="156" bestFit="1" customWidth="1"/>
    <col min="12298" max="12298" width="13.125" style="156" bestFit="1" customWidth="1"/>
    <col min="12299" max="12300" width="12.375" style="156" customWidth="1"/>
    <col min="12301" max="12301" width="11.5" style="156" bestFit="1" customWidth="1"/>
    <col min="12302" max="12302" width="12.625" style="156" bestFit="1" customWidth="1"/>
    <col min="12303" max="12303" width="5.5" style="156" customWidth="1"/>
    <col min="12304" max="12305" width="9" style="156"/>
    <col min="12306" max="12307" width="11.125" style="156" customWidth="1"/>
    <col min="12308" max="12308" width="12.5" style="156" bestFit="1" customWidth="1"/>
    <col min="12309" max="12544" width="9" style="156"/>
    <col min="12545" max="12545" width="8.5" style="156" customWidth="1"/>
    <col min="12546" max="12546" width="11.125" style="156" customWidth="1"/>
    <col min="12547" max="12547" width="10.25" style="156" bestFit="1" customWidth="1"/>
    <col min="12548" max="12549" width="11" style="156" customWidth="1"/>
    <col min="12550" max="12550" width="11.375" style="156" customWidth="1"/>
    <col min="12551" max="12552" width="10.25" style="156" bestFit="1" customWidth="1"/>
    <col min="12553" max="12553" width="8.125" style="156" bestFit="1" customWidth="1"/>
    <col min="12554" max="12554" width="13.125" style="156" bestFit="1" customWidth="1"/>
    <col min="12555" max="12556" width="12.375" style="156" customWidth="1"/>
    <col min="12557" max="12557" width="11.5" style="156" bestFit="1" customWidth="1"/>
    <col min="12558" max="12558" width="12.625" style="156" bestFit="1" customWidth="1"/>
    <col min="12559" max="12559" width="5.5" style="156" customWidth="1"/>
    <col min="12560" max="12561" width="9" style="156"/>
    <col min="12562" max="12563" width="11.125" style="156" customWidth="1"/>
    <col min="12564" max="12564" width="12.5" style="156" bestFit="1" customWidth="1"/>
    <col min="12565" max="12800" width="9" style="156"/>
    <col min="12801" max="12801" width="8.5" style="156" customWidth="1"/>
    <col min="12802" max="12802" width="11.125" style="156" customWidth="1"/>
    <col min="12803" max="12803" width="10.25" style="156" bestFit="1" customWidth="1"/>
    <col min="12804" max="12805" width="11" style="156" customWidth="1"/>
    <col min="12806" max="12806" width="11.375" style="156" customWidth="1"/>
    <col min="12807" max="12808" width="10.25" style="156" bestFit="1" customWidth="1"/>
    <col min="12809" max="12809" width="8.125" style="156" bestFit="1" customWidth="1"/>
    <col min="12810" max="12810" width="13.125" style="156" bestFit="1" customWidth="1"/>
    <col min="12811" max="12812" width="12.375" style="156" customWidth="1"/>
    <col min="12813" max="12813" width="11.5" style="156" bestFit="1" customWidth="1"/>
    <col min="12814" max="12814" width="12.625" style="156" bestFit="1" customWidth="1"/>
    <col min="12815" max="12815" width="5.5" style="156" customWidth="1"/>
    <col min="12816" max="12817" width="9" style="156"/>
    <col min="12818" max="12819" width="11.125" style="156" customWidth="1"/>
    <col min="12820" max="12820" width="12.5" style="156" bestFit="1" customWidth="1"/>
    <col min="12821" max="13056" width="9" style="156"/>
    <col min="13057" max="13057" width="8.5" style="156" customWidth="1"/>
    <col min="13058" max="13058" width="11.125" style="156" customWidth="1"/>
    <col min="13059" max="13059" width="10.25" style="156" bestFit="1" customWidth="1"/>
    <col min="13060" max="13061" width="11" style="156" customWidth="1"/>
    <col min="13062" max="13062" width="11.375" style="156" customWidth="1"/>
    <col min="13063" max="13064" width="10.25" style="156" bestFit="1" customWidth="1"/>
    <col min="13065" max="13065" width="8.125" style="156" bestFit="1" customWidth="1"/>
    <col min="13066" max="13066" width="13.125" style="156" bestFit="1" customWidth="1"/>
    <col min="13067" max="13068" width="12.375" style="156" customWidth="1"/>
    <col min="13069" max="13069" width="11.5" style="156" bestFit="1" customWidth="1"/>
    <col min="13070" max="13070" width="12.625" style="156" bestFit="1" customWidth="1"/>
    <col min="13071" max="13071" width="5.5" style="156" customWidth="1"/>
    <col min="13072" max="13073" width="9" style="156"/>
    <col min="13074" max="13075" width="11.125" style="156" customWidth="1"/>
    <col min="13076" max="13076" width="12.5" style="156" bestFit="1" customWidth="1"/>
    <col min="13077" max="13312" width="9" style="156"/>
    <col min="13313" max="13313" width="8.5" style="156" customWidth="1"/>
    <col min="13314" max="13314" width="11.125" style="156" customWidth="1"/>
    <col min="13315" max="13315" width="10.25" style="156" bestFit="1" customWidth="1"/>
    <col min="13316" max="13317" width="11" style="156" customWidth="1"/>
    <col min="13318" max="13318" width="11.375" style="156" customWidth="1"/>
    <col min="13319" max="13320" width="10.25" style="156" bestFit="1" customWidth="1"/>
    <col min="13321" max="13321" width="8.125" style="156" bestFit="1" customWidth="1"/>
    <col min="13322" max="13322" width="13.125" style="156" bestFit="1" customWidth="1"/>
    <col min="13323" max="13324" width="12.375" style="156" customWidth="1"/>
    <col min="13325" max="13325" width="11.5" style="156" bestFit="1" customWidth="1"/>
    <col min="13326" max="13326" width="12.625" style="156" bestFit="1" customWidth="1"/>
    <col min="13327" max="13327" width="5.5" style="156" customWidth="1"/>
    <col min="13328" max="13329" width="9" style="156"/>
    <col min="13330" max="13331" width="11.125" style="156" customWidth="1"/>
    <col min="13332" max="13332" width="12.5" style="156" bestFit="1" customWidth="1"/>
    <col min="13333" max="13568" width="9" style="156"/>
    <col min="13569" max="13569" width="8.5" style="156" customWidth="1"/>
    <col min="13570" max="13570" width="11.125" style="156" customWidth="1"/>
    <col min="13571" max="13571" width="10.25" style="156" bestFit="1" customWidth="1"/>
    <col min="13572" max="13573" width="11" style="156" customWidth="1"/>
    <col min="13574" max="13574" width="11.375" style="156" customWidth="1"/>
    <col min="13575" max="13576" width="10.25" style="156" bestFit="1" customWidth="1"/>
    <col min="13577" max="13577" width="8.125" style="156" bestFit="1" customWidth="1"/>
    <col min="13578" max="13578" width="13.125" style="156" bestFit="1" customWidth="1"/>
    <col min="13579" max="13580" width="12.375" style="156" customWidth="1"/>
    <col min="13581" max="13581" width="11.5" style="156" bestFit="1" customWidth="1"/>
    <col min="13582" max="13582" width="12.625" style="156" bestFit="1" customWidth="1"/>
    <col min="13583" max="13583" width="5.5" style="156" customWidth="1"/>
    <col min="13584" max="13585" width="9" style="156"/>
    <col min="13586" max="13587" width="11.125" style="156" customWidth="1"/>
    <col min="13588" max="13588" width="12.5" style="156" bestFit="1" customWidth="1"/>
    <col min="13589" max="13824" width="9" style="156"/>
    <col min="13825" max="13825" width="8.5" style="156" customWidth="1"/>
    <col min="13826" max="13826" width="11.125" style="156" customWidth="1"/>
    <col min="13827" max="13827" width="10.25" style="156" bestFit="1" customWidth="1"/>
    <col min="13828" max="13829" width="11" style="156" customWidth="1"/>
    <col min="13830" max="13830" width="11.375" style="156" customWidth="1"/>
    <col min="13831" max="13832" width="10.25" style="156" bestFit="1" customWidth="1"/>
    <col min="13833" max="13833" width="8.125" style="156" bestFit="1" customWidth="1"/>
    <col min="13834" max="13834" width="13.125" style="156" bestFit="1" customWidth="1"/>
    <col min="13835" max="13836" width="12.375" style="156" customWidth="1"/>
    <col min="13837" max="13837" width="11.5" style="156" bestFit="1" customWidth="1"/>
    <col min="13838" max="13838" width="12.625" style="156" bestFit="1" customWidth="1"/>
    <col min="13839" max="13839" width="5.5" style="156" customWidth="1"/>
    <col min="13840" max="13841" width="9" style="156"/>
    <col min="13842" max="13843" width="11.125" style="156" customWidth="1"/>
    <col min="13844" max="13844" width="12.5" style="156" bestFit="1" customWidth="1"/>
    <col min="13845" max="14080" width="9" style="156"/>
    <col min="14081" max="14081" width="8.5" style="156" customWidth="1"/>
    <col min="14082" max="14082" width="11.125" style="156" customWidth="1"/>
    <col min="14083" max="14083" width="10.25" style="156" bestFit="1" customWidth="1"/>
    <col min="14084" max="14085" width="11" style="156" customWidth="1"/>
    <col min="14086" max="14086" width="11.375" style="156" customWidth="1"/>
    <col min="14087" max="14088" width="10.25" style="156" bestFit="1" customWidth="1"/>
    <col min="14089" max="14089" width="8.125" style="156" bestFit="1" customWidth="1"/>
    <col min="14090" max="14090" width="13.125" style="156" bestFit="1" customWidth="1"/>
    <col min="14091" max="14092" width="12.375" style="156" customWidth="1"/>
    <col min="14093" max="14093" width="11.5" style="156" bestFit="1" customWidth="1"/>
    <col min="14094" max="14094" width="12.625" style="156" bestFit="1" customWidth="1"/>
    <col min="14095" max="14095" width="5.5" style="156" customWidth="1"/>
    <col min="14096" max="14097" width="9" style="156"/>
    <col min="14098" max="14099" width="11.125" style="156" customWidth="1"/>
    <col min="14100" max="14100" width="12.5" style="156" bestFit="1" customWidth="1"/>
    <col min="14101" max="14336" width="9" style="156"/>
    <col min="14337" max="14337" width="8.5" style="156" customWidth="1"/>
    <col min="14338" max="14338" width="11.125" style="156" customWidth="1"/>
    <col min="14339" max="14339" width="10.25" style="156" bestFit="1" customWidth="1"/>
    <col min="14340" max="14341" width="11" style="156" customWidth="1"/>
    <col min="14342" max="14342" width="11.375" style="156" customWidth="1"/>
    <col min="14343" max="14344" width="10.25" style="156" bestFit="1" customWidth="1"/>
    <col min="14345" max="14345" width="8.125" style="156" bestFit="1" customWidth="1"/>
    <col min="14346" max="14346" width="13.125" style="156" bestFit="1" customWidth="1"/>
    <col min="14347" max="14348" width="12.375" style="156" customWidth="1"/>
    <col min="14349" max="14349" width="11.5" style="156" bestFit="1" customWidth="1"/>
    <col min="14350" max="14350" width="12.625" style="156" bestFit="1" customWidth="1"/>
    <col min="14351" max="14351" width="5.5" style="156" customWidth="1"/>
    <col min="14352" max="14353" width="9" style="156"/>
    <col min="14354" max="14355" width="11.125" style="156" customWidth="1"/>
    <col min="14356" max="14356" width="12.5" style="156" bestFit="1" customWidth="1"/>
    <col min="14357" max="14592" width="9" style="156"/>
    <col min="14593" max="14593" width="8.5" style="156" customWidth="1"/>
    <col min="14594" max="14594" width="11.125" style="156" customWidth="1"/>
    <col min="14595" max="14595" width="10.25" style="156" bestFit="1" customWidth="1"/>
    <col min="14596" max="14597" width="11" style="156" customWidth="1"/>
    <col min="14598" max="14598" width="11.375" style="156" customWidth="1"/>
    <col min="14599" max="14600" width="10.25" style="156" bestFit="1" customWidth="1"/>
    <col min="14601" max="14601" width="8.125" style="156" bestFit="1" customWidth="1"/>
    <col min="14602" max="14602" width="13.125" style="156" bestFit="1" customWidth="1"/>
    <col min="14603" max="14604" width="12.375" style="156" customWidth="1"/>
    <col min="14605" max="14605" width="11.5" style="156" bestFit="1" customWidth="1"/>
    <col min="14606" max="14606" width="12.625" style="156" bestFit="1" customWidth="1"/>
    <col min="14607" max="14607" width="5.5" style="156" customWidth="1"/>
    <col min="14608" max="14609" width="9" style="156"/>
    <col min="14610" max="14611" width="11.125" style="156" customWidth="1"/>
    <col min="14612" max="14612" width="12.5" style="156" bestFit="1" customWidth="1"/>
    <col min="14613" max="14848" width="9" style="156"/>
    <col min="14849" max="14849" width="8.5" style="156" customWidth="1"/>
    <col min="14850" max="14850" width="11.125" style="156" customWidth="1"/>
    <col min="14851" max="14851" width="10.25" style="156" bestFit="1" customWidth="1"/>
    <col min="14852" max="14853" width="11" style="156" customWidth="1"/>
    <col min="14854" max="14854" width="11.375" style="156" customWidth="1"/>
    <col min="14855" max="14856" width="10.25" style="156" bestFit="1" customWidth="1"/>
    <col min="14857" max="14857" width="8.125" style="156" bestFit="1" customWidth="1"/>
    <col min="14858" max="14858" width="13.125" style="156" bestFit="1" customWidth="1"/>
    <col min="14859" max="14860" width="12.375" style="156" customWidth="1"/>
    <col min="14861" max="14861" width="11.5" style="156" bestFit="1" customWidth="1"/>
    <col min="14862" max="14862" width="12.625" style="156" bestFit="1" customWidth="1"/>
    <col min="14863" max="14863" width="5.5" style="156" customWidth="1"/>
    <col min="14864" max="14865" width="9" style="156"/>
    <col min="14866" max="14867" width="11.125" style="156" customWidth="1"/>
    <col min="14868" max="14868" width="12.5" style="156" bestFit="1" customWidth="1"/>
    <col min="14869" max="15104" width="9" style="156"/>
    <col min="15105" max="15105" width="8.5" style="156" customWidth="1"/>
    <col min="15106" max="15106" width="11.125" style="156" customWidth="1"/>
    <col min="15107" max="15107" width="10.25" style="156" bestFit="1" customWidth="1"/>
    <col min="15108" max="15109" width="11" style="156" customWidth="1"/>
    <col min="15110" max="15110" width="11.375" style="156" customWidth="1"/>
    <col min="15111" max="15112" width="10.25" style="156" bestFit="1" customWidth="1"/>
    <col min="15113" max="15113" width="8.125" style="156" bestFit="1" customWidth="1"/>
    <col min="15114" max="15114" width="13.125" style="156" bestFit="1" customWidth="1"/>
    <col min="15115" max="15116" width="12.375" style="156" customWidth="1"/>
    <col min="15117" max="15117" width="11.5" style="156" bestFit="1" customWidth="1"/>
    <col min="15118" max="15118" width="12.625" style="156" bestFit="1" customWidth="1"/>
    <col min="15119" max="15119" width="5.5" style="156" customWidth="1"/>
    <col min="15120" max="15121" width="9" style="156"/>
    <col min="15122" max="15123" width="11.125" style="156" customWidth="1"/>
    <col min="15124" max="15124" width="12.5" style="156" bestFit="1" customWidth="1"/>
    <col min="15125" max="15360" width="9" style="156"/>
    <col min="15361" max="15361" width="8.5" style="156" customWidth="1"/>
    <col min="15362" max="15362" width="11.125" style="156" customWidth="1"/>
    <col min="15363" max="15363" width="10.25" style="156" bestFit="1" customWidth="1"/>
    <col min="15364" max="15365" width="11" style="156" customWidth="1"/>
    <col min="15366" max="15366" width="11.375" style="156" customWidth="1"/>
    <col min="15367" max="15368" width="10.25" style="156" bestFit="1" customWidth="1"/>
    <col min="15369" max="15369" width="8.125" style="156" bestFit="1" customWidth="1"/>
    <col min="15370" max="15370" width="13.125" style="156" bestFit="1" customWidth="1"/>
    <col min="15371" max="15372" width="12.375" style="156" customWidth="1"/>
    <col min="15373" max="15373" width="11.5" style="156" bestFit="1" customWidth="1"/>
    <col min="15374" max="15374" width="12.625" style="156" bestFit="1" customWidth="1"/>
    <col min="15375" max="15375" width="5.5" style="156" customWidth="1"/>
    <col min="15376" max="15377" width="9" style="156"/>
    <col min="15378" max="15379" width="11.125" style="156" customWidth="1"/>
    <col min="15380" max="15380" width="12.5" style="156" bestFit="1" customWidth="1"/>
    <col min="15381" max="15616" width="9" style="156"/>
    <col min="15617" max="15617" width="8.5" style="156" customWidth="1"/>
    <col min="15618" max="15618" width="11.125" style="156" customWidth="1"/>
    <col min="15619" max="15619" width="10.25" style="156" bestFit="1" customWidth="1"/>
    <col min="15620" max="15621" width="11" style="156" customWidth="1"/>
    <col min="15622" max="15622" width="11.375" style="156" customWidth="1"/>
    <col min="15623" max="15624" width="10.25" style="156" bestFit="1" customWidth="1"/>
    <col min="15625" max="15625" width="8.125" style="156" bestFit="1" customWidth="1"/>
    <col min="15626" max="15626" width="13.125" style="156" bestFit="1" customWidth="1"/>
    <col min="15627" max="15628" width="12.375" style="156" customWidth="1"/>
    <col min="15629" max="15629" width="11.5" style="156" bestFit="1" customWidth="1"/>
    <col min="15630" max="15630" width="12.625" style="156" bestFit="1" customWidth="1"/>
    <col min="15631" max="15631" width="5.5" style="156" customWidth="1"/>
    <col min="15632" max="15633" width="9" style="156"/>
    <col min="15634" max="15635" width="11.125" style="156" customWidth="1"/>
    <col min="15636" max="15636" width="12.5" style="156" bestFit="1" customWidth="1"/>
    <col min="15637" max="15872" width="9" style="156"/>
    <col min="15873" max="15873" width="8.5" style="156" customWidth="1"/>
    <col min="15874" max="15874" width="11.125" style="156" customWidth="1"/>
    <col min="15875" max="15875" width="10.25" style="156" bestFit="1" customWidth="1"/>
    <col min="15876" max="15877" width="11" style="156" customWidth="1"/>
    <col min="15878" max="15878" width="11.375" style="156" customWidth="1"/>
    <col min="15879" max="15880" width="10.25" style="156" bestFit="1" customWidth="1"/>
    <col min="15881" max="15881" width="8.125" style="156" bestFit="1" customWidth="1"/>
    <col min="15882" max="15882" width="13.125" style="156" bestFit="1" customWidth="1"/>
    <col min="15883" max="15884" width="12.375" style="156" customWidth="1"/>
    <col min="15885" max="15885" width="11.5" style="156" bestFit="1" customWidth="1"/>
    <col min="15886" max="15886" width="12.625" style="156" bestFit="1" customWidth="1"/>
    <col min="15887" max="15887" width="5.5" style="156" customWidth="1"/>
    <col min="15888" max="15889" width="9" style="156"/>
    <col min="15890" max="15891" width="11.125" style="156" customWidth="1"/>
    <col min="15892" max="15892" width="12.5" style="156" bestFit="1" customWidth="1"/>
    <col min="15893" max="16128" width="9" style="156"/>
    <col min="16129" max="16129" width="8.5" style="156" customWidth="1"/>
    <col min="16130" max="16130" width="11.125" style="156" customWidth="1"/>
    <col min="16131" max="16131" width="10.25" style="156" bestFit="1" customWidth="1"/>
    <col min="16132" max="16133" width="11" style="156" customWidth="1"/>
    <col min="16134" max="16134" width="11.375" style="156" customWidth="1"/>
    <col min="16135" max="16136" width="10.25" style="156" bestFit="1" customWidth="1"/>
    <col min="16137" max="16137" width="8.125" style="156" bestFit="1" customWidth="1"/>
    <col min="16138" max="16138" width="13.125" style="156" bestFit="1" customWidth="1"/>
    <col min="16139" max="16140" width="12.375" style="156" customWidth="1"/>
    <col min="16141" max="16141" width="11.5" style="156" bestFit="1" customWidth="1"/>
    <col min="16142" max="16142" width="12.625" style="156" bestFit="1" customWidth="1"/>
    <col min="16143" max="16143" width="5.5" style="156" customWidth="1"/>
    <col min="16144" max="16145" width="9" style="156"/>
    <col min="16146" max="16147" width="11.125" style="156" customWidth="1"/>
    <col min="16148" max="16148" width="12.5" style="156" bestFit="1" customWidth="1"/>
    <col min="16149" max="16384" width="9" style="156"/>
  </cols>
  <sheetData>
    <row r="1" spans="1:17" ht="36" customHeight="1">
      <c r="A1" s="1171" t="s">
        <v>616</v>
      </c>
      <c r="B1" s="1171"/>
      <c r="C1" s="1171"/>
      <c r="D1" s="1171"/>
      <c r="E1" s="1171"/>
      <c r="F1" s="1171"/>
    </row>
    <row r="2" spans="1:17" ht="15" customHeight="1">
      <c r="A2" s="159"/>
      <c r="D2" s="1189" t="s">
        <v>495</v>
      </c>
      <c r="E2" s="1189"/>
      <c r="F2" s="384" t="str">
        <f>'3-1 참여기술인(등급)'!F28</f>
        <v>고급이상</v>
      </c>
      <c r="M2" s="156"/>
    </row>
    <row r="3" spans="1:17" ht="18" customHeight="1">
      <c r="A3" s="159" t="s">
        <v>528</v>
      </c>
      <c r="B3" s="158"/>
      <c r="C3" s="158"/>
      <c r="D3" s="1190" t="s">
        <v>496</v>
      </c>
      <c r="E3" s="1190"/>
      <c r="F3" s="384" t="str">
        <f>'3-1 참여기술인(등급)'!G28</f>
        <v>고급</v>
      </c>
      <c r="G3" s="158"/>
      <c r="H3" s="1186" t="s">
        <v>34</v>
      </c>
      <c r="I3" s="1186"/>
      <c r="J3" s="1187">
        <f>'3-2 책임기술인'!J3</f>
        <v>45972</v>
      </c>
      <c r="K3" s="1188"/>
      <c r="L3" s="386" t="s">
        <v>219</v>
      </c>
      <c r="M3" s="387">
        <f>J3-1</f>
        <v>45971</v>
      </c>
    </row>
    <row r="4" spans="1:17" ht="18" customHeight="1">
      <c r="A4" s="377" t="s">
        <v>183</v>
      </c>
      <c r="B4" s="1182" t="s">
        <v>141</v>
      </c>
      <c r="C4" s="1112"/>
      <c r="D4" s="304" t="s">
        <v>222</v>
      </c>
      <c r="E4" s="304" t="s">
        <v>142</v>
      </c>
      <c r="F4" s="304" t="s">
        <v>143</v>
      </c>
      <c r="G4" s="304" t="s">
        <v>223</v>
      </c>
      <c r="H4" s="304" t="s">
        <v>224</v>
      </c>
      <c r="I4" s="304" t="s">
        <v>225</v>
      </c>
      <c r="J4" s="304" t="s">
        <v>152</v>
      </c>
      <c r="K4" s="304" t="s">
        <v>153</v>
      </c>
      <c r="L4" s="304" t="s">
        <v>226</v>
      </c>
      <c r="M4" s="304" t="s">
        <v>227</v>
      </c>
      <c r="N4" s="337"/>
      <c r="P4" s="305"/>
      <c r="Q4" s="305"/>
    </row>
    <row r="5" spans="1:17" ht="47.25" customHeight="1">
      <c r="A5" s="1105" t="str">
        <f>'3-1 참여기술인(등급)'!D28</f>
        <v>홍영희</v>
      </c>
      <c r="B5" s="1105" t="s">
        <v>228</v>
      </c>
      <c r="C5" s="1105" t="s">
        <v>523</v>
      </c>
      <c r="D5" s="344"/>
      <c r="E5" s="344"/>
      <c r="F5" s="344" t="s">
        <v>530</v>
      </c>
      <c r="G5" s="306"/>
      <c r="H5" s="306"/>
      <c r="I5" s="378">
        <v>1</v>
      </c>
      <c r="J5" s="307"/>
      <c r="K5" s="307"/>
      <c r="L5" s="308">
        <f t="shared" ref="L5" si="0">IF(K5&gt;=$M$3,$M$3,K5)</f>
        <v>0</v>
      </c>
      <c r="M5" s="216">
        <v>0</v>
      </c>
      <c r="N5" s="388"/>
      <c r="P5" s="305"/>
      <c r="Q5" s="305"/>
    </row>
    <row r="6" spans="1:17" ht="17.100000000000001" customHeight="1">
      <c r="A6" s="1105"/>
      <c r="B6" s="1105"/>
      <c r="C6" s="1095"/>
      <c r="D6" s="1095" t="s">
        <v>102</v>
      </c>
      <c r="E6" s="1095"/>
      <c r="F6" s="1095"/>
      <c r="G6" s="1095"/>
      <c r="H6" s="1095"/>
      <c r="I6" s="1095"/>
      <c r="J6" s="1095"/>
      <c r="K6" s="1095"/>
      <c r="L6" s="1095"/>
      <c r="M6" s="392">
        <f>SUM(M5:M5)</f>
        <v>0</v>
      </c>
    </row>
    <row r="7" spans="1:17" ht="47.25" customHeight="1">
      <c r="A7" s="1105"/>
      <c r="B7" s="1105"/>
      <c r="C7" s="1105" t="s">
        <v>525</v>
      </c>
      <c r="D7" s="624"/>
      <c r="E7" s="624"/>
      <c r="F7" s="624"/>
      <c r="G7" s="344"/>
      <c r="H7" s="344"/>
      <c r="I7" s="378">
        <v>0.7</v>
      </c>
      <c r="J7" s="307"/>
      <c r="K7" s="307"/>
      <c r="L7" s="308">
        <f t="shared" ref="L7:L11" si="1">IF(K7&gt;=$M$3,$M$3,K7)</f>
        <v>0</v>
      </c>
      <c r="M7" s="216" t="str">
        <f>IF(J7="","",(L7-J7+1)*I7)</f>
        <v/>
      </c>
      <c r="N7" s="394">
        <f>(L7-J7+1)</f>
        <v>1</v>
      </c>
    </row>
    <row r="8" spans="1:17" ht="47.25" customHeight="1">
      <c r="A8" s="1105"/>
      <c r="B8" s="1105"/>
      <c r="C8" s="1095"/>
      <c r="D8" s="624"/>
      <c r="E8" s="624"/>
      <c r="F8" s="624"/>
      <c r="G8" s="344"/>
      <c r="H8" s="344"/>
      <c r="I8" s="378">
        <v>0.7</v>
      </c>
      <c r="J8" s="307"/>
      <c r="K8" s="307"/>
      <c r="L8" s="308">
        <f t="shared" si="1"/>
        <v>0</v>
      </c>
      <c r="M8" s="216" t="str">
        <f t="shared" ref="M8:M11" si="2">IF(J8="","",(L8-J8+1)*I8)</f>
        <v/>
      </c>
      <c r="N8" s="394">
        <f t="shared" ref="N8:N11" si="3">(L8-J8+1)</f>
        <v>1</v>
      </c>
    </row>
    <row r="9" spans="1:17" ht="47.25" customHeight="1">
      <c r="A9" s="1105"/>
      <c r="B9" s="1105"/>
      <c r="C9" s="1095"/>
      <c r="D9" s="624"/>
      <c r="E9" s="624"/>
      <c r="F9" s="624"/>
      <c r="G9" s="344"/>
      <c r="H9" s="344"/>
      <c r="I9" s="378">
        <v>0.7</v>
      </c>
      <c r="J9" s="307"/>
      <c r="K9" s="307"/>
      <c r="L9" s="623">
        <f t="shared" si="1"/>
        <v>0</v>
      </c>
      <c r="M9" s="216" t="str">
        <f t="shared" si="2"/>
        <v/>
      </c>
      <c r="N9" s="394">
        <f t="shared" si="3"/>
        <v>1</v>
      </c>
    </row>
    <row r="10" spans="1:17" ht="47.25" customHeight="1">
      <c r="A10" s="1105"/>
      <c r="B10" s="1105"/>
      <c r="C10" s="1095"/>
      <c r="D10" s="624"/>
      <c r="E10" s="624"/>
      <c r="F10" s="624"/>
      <c r="G10" s="344"/>
      <c r="H10" s="344"/>
      <c r="I10" s="378">
        <v>0.7</v>
      </c>
      <c r="J10" s="307"/>
      <c r="K10" s="307"/>
      <c r="L10" s="623">
        <f t="shared" ref="L10" si="4">IF(K10&gt;=$M$3,$M$3,K10)</f>
        <v>0</v>
      </c>
      <c r="M10" s="216" t="str">
        <f t="shared" ref="M10" si="5">IF(J10="","",(L10-J10+1)*I10)</f>
        <v/>
      </c>
      <c r="N10" s="394">
        <f t="shared" ref="N10" si="6">(L10-J10+1)</f>
        <v>1</v>
      </c>
    </row>
    <row r="11" spans="1:17" ht="47.25" customHeight="1">
      <c r="A11" s="1105"/>
      <c r="B11" s="1105"/>
      <c r="C11" s="1095"/>
      <c r="D11" s="624"/>
      <c r="E11" s="624"/>
      <c r="F11" s="624"/>
      <c r="G11" s="344"/>
      <c r="H11" s="344"/>
      <c r="I11" s="378">
        <v>0.7</v>
      </c>
      <c r="J11" s="307"/>
      <c r="K11" s="307"/>
      <c r="L11" s="623">
        <f t="shared" si="1"/>
        <v>0</v>
      </c>
      <c r="M11" s="216" t="str">
        <f t="shared" si="2"/>
        <v/>
      </c>
      <c r="N11" s="394">
        <f t="shared" si="3"/>
        <v>1</v>
      </c>
    </row>
    <row r="12" spans="1:17" ht="18" customHeight="1">
      <c r="A12" s="1105"/>
      <c r="B12" s="1105"/>
      <c r="C12" s="1095"/>
      <c r="D12" s="1095" t="s">
        <v>102</v>
      </c>
      <c r="E12" s="1095"/>
      <c r="F12" s="1095"/>
      <c r="G12" s="1095"/>
      <c r="H12" s="1095"/>
      <c r="I12" s="1095"/>
      <c r="J12" s="1095"/>
      <c r="K12" s="1095"/>
      <c r="L12" s="1095"/>
      <c r="M12" s="392">
        <f>SUM(M7:M11)</f>
        <v>0</v>
      </c>
    </row>
    <row r="13" spans="1:17" ht="18" customHeight="1">
      <c r="A13" s="1105"/>
      <c r="B13" s="1183" t="s">
        <v>80</v>
      </c>
      <c r="C13" s="1184"/>
      <c r="D13" s="1184"/>
      <c r="E13" s="1184"/>
      <c r="F13" s="1184"/>
      <c r="G13" s="1184"/>
      <c r="H13" s="1184"/>
      <c r="I13" s="1184"/>
      <c r="J13" s="1184"/>
      <c r="K13" s="1184"/>
      <c r="L13" s="1185"/>
      <c r="M13" s="379">
        <f>SUM(M12,M6)</f>
        <v>0</v>
      </c>
      <c r="N13" s="616">
        <f>M13/30</f>
        <v>0</v>
      </c>
    </row>
    <row r="14" spans="1:17" ht="28.5" customHeight="1">
      <c r="A14" s="1105"/>
      <c r="B14" s="1176" t="s">
        <v>229</v>
      </c>
      <c r="C14" s="1177"/>
      <c r="D14" s="1177"/>
      <c r="E14" s="1177"/>
      <c r="F14" s="1177"/>
      <c r="G14" s="1177"/>
      <c r="H14" s="1177"/>
      <c r="I14" s="1177"/>
      <c r="J14" s="1177"/>
      <c r="K14" s="1177"/>
      <c r="L14" s="1178"/>
      <c r="M14" s="380">
        <v>10227</v>
      </c>
    </row>
    <row r="15" spans="1:17" ht="18" customHeight="1">
      <c r="A15" s="348"/>
      <c r="B15" s="329"/>
      <c r="C15" s="329"/>
      <c r="D15" s="329"/>
      <c r="E15" s="329"/>
      <c r="F15" s="213"/>
      <c r="G15" s="213"/>
      <c r="H15" s="213"/>
      <c r="I15" s="213"/>
      <c r="J15" s="213"/>
      <c r="K15" s="213"/>
      <c r="L15" s="389"/>
      <c r="M15" s="617">
        <f>M14/365</f>
        <v>28.019178082191782</v>
      </c>
    </row>
  </sheetData>
  <mergeCells count="14">
    <mergeCell ref="B13:L13"/>
    <mergeCell ref="B14:L14"/>
    <mergeCell ref="A1:F1"/>
    <mergeCell ref="H3:I3"/>
    <mergeCell ref="J3:K3"/>
    <mergeCell ref="B4:C4"/>
    <mergeCell ref="A5:A14"/>
    <mergeCell ref="B5:B12"/>
    <mergeCell ref="C5:C6"/>
    <mergeCell ref="D6:L6"/>
    <mergeCell ref="C7:C12"/>
    <mergeCell ref="D12:L12"/>
    <mergeCell ref="D2:E2"/>
    <mergeCell ref="D3:E3"/>
  </mergeCells>
  <phoneticPr fontId="2" type="noConversion"/>
  <printOptions horizontalCentered="1"/>
  <pageMargins left="0.11811023622047245" right="0.11811023622047245" top="0.74803149606299213" bottom="0.74803149606299213" header="0.31496062992125984" footer="0.31496062992125984"/>
  <pageSetup paperSize="9" scale="64" orientation="landscape" verticalDpi="1200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T49"/>
  <sheetViews>
    <sheetView showGridLines="0" view="pageBreakPreview" zoomScaleNormal="100" zoomScaleSheetLayoutView="100" workbookViewId="0">
      <selection activeCell="A2" sqref="A2"/>
    </sheetView>
  </sheetViews>
  <sheetFormatPr defaultRowHeight="16.5"/>
  <cols>
    <col min="1" max="1" width="8.125" style="156" customWidth="1"/>
    <col min="2" max="2" width="10" style="156" customWidth="1"/>
    <col min="3" max="3" width="10.75" style="156" bestFit="1" customWidth="1"/>
    <col min="4" max="5" width="12.75" style="156" customWidth="1"/>
    <col min="6" max="6" width="48.625" style="156" customWidth="1"/>
    <col min="7" max="7" width="10.25" style="156" customWidth="1"/>
    <col min="8" max="8" width="15" style="156" bestFit="1" customWidth="1"/>
    <col min="9" max="9" width="8.125" style="156" bestFit="1" customWidth="1"/>
    <col min="10" max="10" width="13.125" style="156" bestFit="1" customWidth="1"/>
    <col min="11" max="12" width="12.375" style="156" customWidth="1"/>
    <col min="13" max="13" width="10.875" style="281" bestFit="1" customWidth="1"/>
    <col min="14" max="14" width="12.625" style="285" bestFit="1" customWidth="1"/>
    <col min="15" max="15" width="5.5" style="156" customWidth="1"/>
    <col min="16" max="17" width="9" style="280"/>
    <col min="18" max="19" width="11.125" style="280" customWidth="1"/>
    <col min="20" max="20" width="12.5" style="280" bestFit="1" customWidth="1"/>
    <col min="21" max="256" width="9" style="156"/>
    <col min="257" max="257" width="8.125" style="156" customWidth="1"/>
    <col min="258" max="258" width="10" style="156" customWidth="1"/>
    <col min="259" max="259" width="10.25" style="156" bestFit="1" customWidth="1"/>
    <col min="260" max="262" width="11" style="156" customWidth="1"/>
    <col min="263" max="264" width="10.25" style="156" bestFit="1" customWidth="1"/>
    <col min="265" max="265" width="8.125" style="156" bestFit="1" customWidth="1"/>
    <col min="266" max="266" width="13.125" style="156" bestFit="1" customWidth="1"/>
    <col min="267" max="268" width="12.375" style="156" customWidth="1"/>
    <col min="269" max="269" width="13.125" style="156" bestFit="1" customWidth="1"/>
    <col min="270" max="270" width="12.625" style="156" bestFit="1" customWidth="1"/>
    <col min="271" max="271" width="5.5" style="156" customWidth="1"/>
    <col min="272" max="273" width="9" style="156"/>
    <col min="274" max="275" width="11.125" style="156" customWidth="1"/>
    <col min="276" max="276" width="12.5" style="156" bestFit="1" customWidth="1"/>
    <col min="277" max="512" width="9" style="156"/>
    <col min="513" max="513" width="8.125" style="156" customWidth="1"/>
    <col min="514" max="514" width="10" style="156" customWidth="1"/>
    <col min="515" max="515" width="10.25" style="156" bestFit="1" customWidth="1"/>
    <col min="516" max="518" width="11" style="156" customWidth="1"/>
    <col min="519" max="520" width="10.25" style="156" bestFit="1" customWidth="1"/>
    <col min="521" max="521" width="8.125" style="156" bestFit="1" customWidth="1"/>
    <col min="522" max="522" width="13.125" style="156" bestFit="1" customWidth="1"/>
    <col min="523" max="524" width="12.375" style="156" customWidth="1"/>
    <col min="525" max="525" width="13.125" style="156" bestFit="1" customWidth="1"/>
    <col min="526" max="526" width="12.625" style="156" bestFit="1" customWidth="1"/>
    <col min="527" max="527" width="5.5" style="156" customWidth="1"/>
    <col min="528" max="529" width="9" style="156"/>
    <col min="530" max="531" width="11.125" style="156" customWidth="1"/>
    <col min="532" max="532" width="12.5" style="156" bestFit="1" customWidth="1"/>
    <col min="533" max="768" width="9" style="156"/>
    <col min="769" max="769" width="8.125" style="156" customWidth="1"/>
    <col min="770" max="770" width="10" style="156" customWidth="1"/>
    <col min="771" max="771" width="10.25" style="156" bestFit="1" customWidth="1"/>
    <col min="772" max="774" width="11" style="156" customWidth="1"/>
    <col min="775" max="776" width="10.25" style="156" bestFit="1" customWidth="1"/>
    <col min="777" max="777" width="8.125" style="156" bestFit="1" customWidth="1"/>
    <col min="778" max="778" width="13.125" style="156" bestFit="1" customWidth="1"/>
    <col min="779" max="780" width="12.375" style="156" customWidth="1"/>
    <col min="781" max="781" width="13.125" style="156" bestFit="1" customWidth="1"/>
    <col min="782" max="782" width="12.625" style="156" bestFit="1" customWidth="1"/>
    <col min="783" max="783" width="5.5" style="156" customWidth="1"/>
    <col min="784" max="785" width="9" style="156"/>
    <col min="786" max="787" width="11.125" style="156" customWidth="1"/>
    <col min="788" max="788" width="12.5" style="156" bestFit="1" customWidth="1"/>
    <col min="789" max="1024" width="9" style="156"/>
    <col min="1025" max="1025" width="8.125" style="156" customWidth="1"/>
    <col min="1026" max="1026" width="10" style="156" customWidth="1"/>
    <col min="1027" max="1027" width="10.25" style="156" bestFit="1" customWidth="1"/>
    <col min="1028" max="1030" width="11" style="156" customWidth="1"/>
    <col min="1031" max="1032" width="10.25" style="156" bestFit="1" customWidth="1"/>
    <col min="1033" max="1033" width="8.125" style="156" bestFit="1" customWidth="1"/>
    <col min="1034" max="1034" width="13.125" style="156" bestFit="1" customWidth="1"/>
    <col min="1035" max="1036" width="12.375" style="156" customWidth="1"/>
    <col min="1037" max="1037" width="13.125" style="156" bestFit="1" customWidth="1"/>
    <col min="1038" max="1038" width="12.625" style="156" bestFit="1" customWidth="1"/>
    <col min="1039" max="1039" width="5.5" style="156" customWidth="1"/>
    <col min="1040" max="1041" width="9" style="156"/>
    <col min="1042" max="1043" width="11.125" style="156" customWidth="1"/>
    <col min="1044" max="1044" width="12.5" style="156" bestFit="1" customWidth="1"/>
    <col min="1045" max="1280" width="9" style="156"/>
    <col min="1281" max="1281" width="8.125" style="156" customWidth="1"/>
    <col min="1282" max="1282" width="10" style="156" customWidth="1"/>
    <col min="1283" max="1283" width="10.25" style="156" bestFit="1" customWidth="1"/>
    <col min="1284" max="1286" width="11" style="156" customWidth="1"/>
    <col min="1287" max="1288" width="10.25" style="156" bestFit="1" customWidth="1"/>
    <col min="1289" max="1289" width="8.125" style="156" bestFit="1" customWidth="1"/>
    <col min="1290" max="1290" width="13.125" style="156" bestFit="1" customWidth="1"/>
    <col min="1291" max="1292" width="12.375" style="156" customWidth="1"/>
    <col min="1293" max="1293" width="13.125" style="156" bestFit="1" customWidth="1"/>
    <col min="1294" max="1294" width="12.625" style="156" bestFit="1" customWidth="1"/>
    <col min="1295" max="1295" width="5.5" style="156" customWidth="1"/>
    <col min="1296" max="1297" width="9" style="156"/>
    <col min="1298" max="1299" width="11.125" style="156" customWidth="1"/>
    <col min="1300" max="1300" width="12.5" style="156" bestFit="1" customWidth="1"/>
    <col min="1301" max="1536" width="9" style="156"/>
    <col min="1537" max="1537" width="8.125" style="156" customWidth="1"/>
    <col min="1538" max="1538" width="10" style="156" customWidth="1"/>
    <col min="1539" max="1539" width="10.25" style="156" bestFit="1" customWidth="1"/>
    <col min="1540" max="1542" width="11" style="156" customWidth="1"/>
    <col min="1543" max="1544" width="10.25" style="156" bestFit="1" customWidth="1"/>
    <col min="1545" max="1545" width="8.125" style="156" bestFit="1" customWidth="1"/>
    <col min="1546" max="1546" width="13.125" style="156" bestFit="1" customWidth="1"/>
    <col min="1547" max="1548" width="12.375" style="156" customWidth="1"/>
    <col min="1549" max="1549" width="13.125" style="156" bestFit="1" customWidth="1"/>
    <col min="1550" max="1550" width="12.625" style="156" bestFit="1" customWidth="1"/>
    <col min="1551" max="1551" width="5.5" style="156" customWidth="1"/>
    <col min="1552" max="1553" width="9" style="156"/>
    <col min="1554" max="1555" width="11.125" style="156" customWidth="1"/>
    <col min="1556" max="1556" width="12.5" style="156" bestFit="1" customWidth="1"/>
    <col min="1557" max="1792" width="9" style="156"/>
    <col min="1793" max="1793" width="8.125" style="156" customWidth="1"/>
    <col min="1794" max="1794" width="10" style="156" customWidth="1"/>
    <col min="1795" max="1795" width="10.25" style="156" bestFit="1" customWidth="1"/>
    <col min="1796" max="1798" width="11" style="156" customWidth="1"/>
    <col min="1799" max="1800" width="10.25" style="156" bestFit="1" customWidth="1"/>
    <col min="1801" max="1801" width="8.125" style="156" bestFit="1" customWidth="1"/>
    <col min="1802" max="1802" width="13.125" style="156" bestFit="1" customWidth="1"/>
    <col min="1803" max="1804" width="12.375" style="156" customWidth="1"/>
    <col min="1805" max="1805" width="13.125" style="156" bestFit="1" customWidth="1"/>
    <col min="1806" max="1806" width="12.625" style="156" bestFit="1" customWidth="1"/>
    <col min="1807" max="1807" width="5.5" style="156" customWidth="1"/>
    <col min="1808" max="1809" width="9" style="156"/>
    <col min="1810" max="1811" width="11.125" style="156" customWidth="1"/>
    <col min="1812" max="1812" width="12.5" style="156" bestFit="1" customWidth="1"/>
    <col min="1813" max="2048" width="9" style="156"/>
    <col min="2049" max="2049" width="8.125" style="156" customWidth="1"/>
    <col min="2050" max="2050" width="10" style="156" customWidth="1"/>
    <col min="2051" max="2051" width="10.25" style="156" bestFit="1" customWidth="1"/>
    <col min="2052" max="2054" width="11" style="156" customWidth="1"/>
    <col min="2055" max="2056" width="10.25" style="156" bestFit="1" customWidth="1"/>
    <col min="2057" max="2057" width="8.125" style="156" bestFit="1" customWidth="1"/>
    <col min="2058" max="2058" width="13.125" style="156" bestFit="1" customWidth="1"/>
    <col min="2059" max="2060" width="12.375" style="156" customWidth="1"/>
    <col min="2061" max="2061" width="13.125" style="156" bestFit="1" customWidth="1"/>
    <col min="2062" max="2062" width="12.625" style="156" bestFit="1" customWidth="1"/>
    <col min="2063" max="2063" width="5.5" style="156" customWidth="1"/>
    <col min="2064" max="2065" width="9" style="156"/>
    <col min="2066" max="2067" width="11.125" style="156" customWidth="1"/>
    <col min="2068" max="2068" width="12.5" style="156" bestFit="1" customWidth="1"/>
    <col min="2069" max="2304" width="9" style="156"/>
    <col min="2305" max="2305" width="8.125" style="156" customWidth="1"/>
    <col min="2306" max="2306" width="10" style="156" customWidth="1"/>
    <col min="2307" max="2307" width="10.25" style="156" bestFit="1" customWidth="1"/>
    <col min="2308" max="2310" width="11" style="156" customWidth="1"/>
    <col min="2311" max="2312" width="10.25" style="156" bestFit="1" customWidth="1"/>
    <col min="2313" max="2313" width="8.125" style="156" bestFit="1" customWidth="1"/>
    <col min="2314" max="2314" width="13.125" style="156" bestFit="1" customWidth="1"/>
    <col min="2315" max="2316" width="12.375" style="156" customWidth="1"/>
    <col min="2317" max="2317" width="13.125" style="156" bestFit="1" customWidth="1"/>
    <col min="2318" max="2318" width="12.625" style="156" bestFit="1" customWidth="1"/>
    <col min="2319" max="2319" width="5.5" style="156" customWidth="1"/>
    <col min="2320" max="2321" width="9" style="156"/>
    <col min="2322" max="2323" width="11.125" style="156" customWidth="1"/>
    <col min="2324" max="2324" width="12.5" style="156" bestFit="1" customWidth="1"/>
    <col min="2325" max="2560" width="9" style="156"/>
    <col min="2561" max="2561" width="8.125" style="156" customWidth="1"/>
    <col min="2562" max="2562" width="10" style="156" customWidth="1"/>
    <col min="2563" max="2563" width="10.25" style="156" bestFit="1" customWidth="1"/>
    <col min="2564" max="2566" width="11" style="156" customWidth="1"/>
    <col min="2567" max="2568" width="10.25" style="156" bestFit="1" customWidth="1"/>
    <col min="2569" max="2569" width="8.125" style="156" bestFit="1" customWidth="1"/>
    <col min="2570" max="2570" width="13.125" style="156" bestFit="1" customWidth="1"/>
    <col min="2571" max="2572" width="12.375" style="156" customWidth="1"/>
    <col min="2573" max="2573" width="13.125" style="156" bestFit="1" customWidth="1"/>
    <col min="2574" max="2574" width="12.625" style="156" bestFit="1" customWidth="1"/>
    <col min="2575" max="2575" width="5.5" style="156" customWidth="1"/>
    <col min="2576" max="2577" width="9" style="156"/>
    <col min="2578" max="2579" width="11.125" style="156" customWidth="1"/>
    <col min="2580" max="2580" width="12.5" style="156" bestFit="1" customWidth="1"/>
    <col min="2581" max="2816" width="9" style="156"/>
    <col min="2817" max="2817" width="8.125" style="156" customWidth="1"/>
    <col min="2818" max="2818" width="10" style="156" customWidth="1"/>
    <col min="2819" max="2819" width="10.25" style="156" bestFit="1" customWidth="1"/>
    <col min="2820" max="2822" width="11" style="156" customWidth="1"/>
    <col min="2823" max="2824" width="10.25" style="156" bestFit="1" customWidth="1"/>
    <col min="2825" max="2825" width="8.125" style="156" bestFit="1" customWidth="1"/>
    <col min="2826" max="2826" width="13.125" style="156" bestFit="1" customWidth="1"/>
    <col min="2827" max="2828" width="12.375" style="156" customWidth="1"/>
    <col min="2829" max="2829" width="13.125" style="156" bestFit="1" customWidth="1"/>
    <col min="2830" max="2830" width="12.625" style="156" bestFit="1" customWidth="1"/>
    <col min="2831" max="2831" width="5.5" style="156" customWidth="1"/>
    <col min="2832" max="2833" width="9" style="156"/>
    <col min="2834" max="2835" width="11.125" style="156" customWidth="1"/>
    <col min="2836" max="2836" width="12.5" style="156" bestFit="1" customWidth="1"/>
    <col min="2837" max="3072" width="9" style="156"/>
    <col min="3073" max="3073" width="8.125" style="156" customWidth="1"/>
    <col min="3074" max="3074" width="10" style="156" customWidth="1"/>
    <col min="3075" max="3075" width="10.25" style="156" bestFit="1" customWidth="1"/>
    <col min="3076" max="3078" width="11" style="156" customWidth="1"/>
    <col min="3079" max="3080" width="10.25" style="156" bestFit="1" customWidth="1"/>
    <col min="3081" max="3081" width="8.125" style="156" bestFit="1" customWidth="1"/>
    <col min="3082" max="3082" width="13.125" style="156" bestFit="1" customWidth="1"/>
    <col min="3083" max="3084" width="12.375" style="156" customWidth="1"/>
    <col min="3085" max="3085" width="13.125" style="156" bestFit="1" customWidth="1"/>
    <col min="3086" max="3086" width="12.625" style="156" bestFit="1" customWidth="1"/>
    <col min="3087" max="3087" width="5.5" style="156" customWidth="1"/>
    <col min="3088" max="3089" width="9" style="156"/>
    <col min="3090" max="3091" width="11.125" style="156" customWidth="1"/>
    <col min="3092" max="3092" width="12.5" style="156" bestFit="1" customWidth="1"/>
    <col min="3093" max="3328" width="9" style="156"/>
    <col min="3329" max="3329" width="8.125" style="156" customWidth="1"/>
    <col min="3330" max="3330" width="10" style="156" customWidth="1"/>
    <col min="3331" max="3331" width="10.25" style="156" bestFit="1" customWidth="1"/>
    <col min="3332" max="3334" width="11" style="156" customWidth="1"/>
    <col min="3335" max="3336" width="10.25" style="156" bestFit="1" customWidth="1"/>
    <col min="3337" max="3337" width="8.125" style="156" bestFit="1" customWidth="1"/>
    <col min="3338" max="3338" width="13.125" style="156" bestFit="1" customWidth="1"/>
    <col min="3339" max="3340" width="12.375" style="156" customWidth="1"/>
    <col min="3341" max="3341" width="13.125" style="156" bestFit="1" customWidth="1"/>
    <col min="3342" max="3342" width="12.625" style="156" bestFit="1" customWidth="1"/>
    <col min="3343" max="3343" width="5.5" style="156" customWidth="1"/>
    <col min="3344" max="3345" width="9" style="156"/>
    <col min="3346" max="3347" width="11.125" style="156" customWidth="1"/>
    <col min="3348" max="3348" width="12.5" style="156" bestFit="1" customWidth="1"/>
    <col min="3349" max="3584" width="9" style="156"/>
    <col min="3585" max="3585" width="8.125" style="156" customWidth="1"/>
    <col min="3586" max="3586" width="10" style="156" customWidth="1"/>
    <col min="3587" max="3587" width="10.25" style="156" bestFit="1" customWidth="1"/>
    <col min="3588" max="3590" width="11" style="156" customWidth="1"/>
    <col min="3591" max="3592" width="10.25" style="156" bestFit="1" customWidth="1"/>
    <col min="3593" max="3593" width="8.125" style="156" bestFit="1" customWidth="1"/>
    <col min="3594" max="3594" width="13.125" style="156" bestFit="1" customWidth="1"/>
    <col min="3595" max="3596" width="12.375" style="156" customWidth="1"/>
    <col min="3597" max="3597" width="13.125" style="156" bestFit="1" customWidth="1"/>
    <col min="3598" max="3598" width="12.625" style="156" bestFit="1" customWidth="1"/>
    <col min="3599" max="3599" width="5.5" style="156" customWidth="1"/>
    <col min="3600" max="3601" width="9" style="156"/>
    <col min="3602" max="3603" width="11.125" style="156" customWidth="1"/>
    <col min="3604" max="3604" width="12.5" style="156" bestFit="1" customWidth="1"/>
    <col min="3605" max="3840" width="9" style="156"/>
    <col min="3841" max="3841" width="8.125" style="156" customWidth="1"/>
    <col min="3842" max="3842" width="10" style="156" customWidth="1"/>
    <col min="3843" max="3843" width="10.25" style="156" bestFit="1" customWidth="1"/>
    <col min="3844" max="3846" width="11" style="156" customWidth="1"/>
    <col min="3847" max="3848" width="10.25" style="156" bestFit="1" customWidth="1"/>
    <col min="3849" max="3849" width="8.125" style="156" bestFit="1" customWidth="1"/>
    <col min="3850" max="3850" width="13.125" style="156" bestFit="1" customWidth="1"/>
    <col min="3851" max="3852" width="12.375" style="156" customWidth="1"/>
    <col min="3853" max="3853" width="13.125" style="156" bestFit="1" customWidth="1"/>
    <col min="3854" max="3854" width="12.625" style="156" bestFit="1" customWidth="1"/>
    <col min="3855" max="3855" width="5.5" style="156" customWidth="1"/>
    <col min="3856" max="3857" width="9" style="156"/>
    <col min="3858" max="3859" width="11.125" style="156" customWidth="1"/>
    <col min="3860" max="3860" width="12.5" style="156" bestFit="1" customWidth="1"/>
    <col min="3861" max="4096" width="9" style="156"/>
    <col min="4097" max="4097" width="8.125" style="156" customWidth="1"/>
    <col min="4098" max="4098" width="10" style="156" customWidth="1"/>
    <col min="4099" max="4099" width="10.25" style="156" bestFit="1" customWidth="1"/>
    <col min="4100" max="4102" width="11" style="156" customWidth="1"/>
    <col min="4103" max="4104" width="10.25" style="156" bestFit="1" customWidth="1"/>
    <col min="4105" max="4105" width="8.125" style="156" bestFit="1" customWidth="1"/>
    <col min="4106" max="4106" width="13.125" style="156" bestFit="1" customWidth="1"/>
    <col min="4107" max="4108" width="12.375" style="156" customWidth="1"/>
    <col min="4109" max="4109" width="13.125" style="156" bestFit="1" customWidth="1"/>
    <col min="4110" max="4110" width="12.625" style="156" bestFit="1" customWidth="1"/>
    <col min="4111" max="4111" width="5.5" style="156" customWidth="1"/>
    <col min="4112" max="4113" width="9" style="156"/>
    <col min="4114" max="4115" width="11.125" style="156" customWidth="1"/>
    <col min="4116" max="4116" width="12.5" style="156" bestFit="1" customWidth="1"/>
    <col min="4117" max="4352" width="9" style="156"/>
    <col min="4353" max="4353" width="8.125" style="156" customWidth="1"/>
    <col min="4354" max="4354" width="10" style="156" customWidth="1"/>
    <col min="4355" max="4355" width="10.25" style="156" bestFit="1" customWidth="1"/>
    <col min="4356" max="4358" width="11" style="156" customWidth="1"/>
    <col min="4359" max="4360" width="10.25" style="156" bestFit="1" customWidth="1"/>
    <col min="4361" max="4361" width="8.125" style="156" bestFit="1" customWidth="1"/>
    <col min="4362" max="4362" width="13.125" style="156" bestFit="1" customWidth="1"/>
    <col min="4363" max="4364" width="12.375" style="156" customWidth="1"/>
    <col min="4365" max="4365" width="13.125" style="156" bestFit="1" customWidth="1"/>
    <col min="4366" max="4366" width="12.625" style="156" bestFit="1" customWidth="1"/>
    <col min="4367" max="4367" width="5.5" style="156" customWidth="1"/>
    <col min="4368" max="4369" width="9" style="156"/>
    <col min="4370" max="4371" width="11.125" style="156" customWidth="1"/>
    <col min="4372" max="4372" width="12.5" style="156" bestFit="1" customWidth="1"/>
    <col min="4373" max="4608" width="9" style="156"/>
    <col min="4609" max="4609" width="8.125" style="156" customWidth="1"/>
    <col min="4610" max="4610" width="10" style="156" customWidth="1"/>
    <col min="4611" max="4611" width="10.25" style="156" bestFit="1" customWidth="1"/>
    <col min="4612" max="4614" width="11" style="156" customWidth="1"/>
    <col min="4615" max="4616" width="10.25" style="156" bestFit="1" customWidth="1"/>
    <col min="4617" max="4617" width="8.125" style="156" bestFit="1" customWidth="1"/>
    <col min="4618" max="4618" width="13.125" style="156" bestFit="1" customWidth="1"/>
    <col min="4619" max="4620" width="12.375" style="156" customWidth="1"/>
    <col min="4621" max="4621" width="13.125" style="156" bestFit="1" customWidth="1"/>
    <col min="4622" max="4622" width="12.625" style="156" bestFit="1" customWidth="1"/>
    <col min="4623" max="4623" width="5.5" style="156" customWidth="1"/>
    <col min="4624" max="4625" width="9" style="156"/>
    <col min="4626" max="4627" width="11.125" style="156" customWidth="1"/>
    <col min="4628" max="4628" width="12.5" style="156" bestFit="1" customWidth="1"/>
    <col min="4629" max="4864" width="9" style="156"/>
    <col min="4865" max="4865" width="8.125" style="156" customWidth="1"/>
    <col min="4866" max="4866" width="10" style="156" customWidth="1"/>
    <col min="4867" max="4867" width="10.25" style="156" bestFit="1" customWidth="1"/>
    <col min="4868" max="4870" width="11" style="156" customWidth="1"/>
    <col min="4871" max="4872" width="10.25" style="156" bestFit="1" customWidth="1"/>
    <col min="4873" max="4873" width="8.125" style="156" bestFit="1" customWidth="1"/>
    <col min="4874" max="4874" width="13.125" style="156" bestFit="1" customWidth="1"/>
    <col min="4875" max="4876" width="12.375" style="156" customWidth="1"/>
    <col min="4877" max="4877" width="13.125" style="156" bestFit="1" customWidth="1"/>
    <col min="4878" max="4878" width="12.625" style="156" bestFit="1" customWidth="1"/>
    <col min="4879" max="4879" width="5.5" style="156" customWidth="1"/>
    <col min="4880" max="4881" width="9" style="156"/>
    <col min="4882" max="4883" width="11.125" style="156" customWidth="1"/>
    <col min="4884" max="4884" width="12.5" style="156" bestFit="1" customWidth="1"/>
    <col min="4885" max="5120" width="9" style="156"/>
    <col min="5121" max="5121" width="8.125" style="156" customWidth="1"/>
    <col min="5122" max="5122" width="10" style="156" customWidth="1"/>
    <col min="5123" max="5123" width="10.25" style="156" bestFit="1" customWidth="1"/>
    <col min="5124" max="5126" width="11" style="156" customWidth="1"/>
    <col min="5127" max="5128" width="10.25" style="156" bestFit="1" customWidth="1"/>
    <col min="5129" max="5129" width="8.125" style="156" bestFit="1" customWidth="1"/>
    <col min="5130" max="5130" width="13.125" style="156" bestFit="1" customWidth="1"/>
    <col min="5131" max="5132" width="12.375" style="156" customWidth="1"/>
    <col min="5133" max="5133" width="13.125" style="156" bestFit="1" customWidth="1"/>
    <col min="5134" max="5134" width="12.625" style="156" bestFit="1" customWidth="1"/>
    <col min="5135" max="5135" width="5.5" style="156" customWidth="1"/>
    <col min="5136" max="5137" width="9" style="156"/>
    <col min="5138" max="5139" width="11.125" style="156" customWidth="1"/>
    <col min="5140" max="5140" width="12.5" style="156" bestFit="1" customWidth="1"/>
    <col min="5141" max="5376" width="9" style="156"/>
    <col min="5377" max="5377" width="8.125" style="156" customWidth="1"/>
    <col min="5378" max="5378" width="10" style="156" customWidth="1"/>
    <col min="5379" max="5379" width="10.25" style="156" bestFit="1" customWidth="1"/>
    <col min="5380" max="5382" width="11" style="156" customWidth="1"/>
    <col min="5383" max="5384" width="10.25" style="156" bestFit="1" customWidth="1"/>
    <col min="5385" max="5385" width="8.125" style="156" bestFit="1" customWidth="1"/>
    <col min="5386" max="5386" width="13.125" style="156" bestFit="1" customWidth="1"/>
    <col min="5387" max="5388" width="12.375" style="156" customWidth="1"/>
    <col min="5389" max="5389" width="13.125" style="156" bestFit="1" customWidth="1"/>
    <col min="5390" max="5390" width="12.625" style="156" bestFit="1" customWidth="1"/>
    <col min="5391" max="5391" width="5.5" style="156" customWidth="1"/>
    <col min="5392" max="5393" width="9" style="156"/>
    <col min="5394" max="5395" width="11.125" style="156" customWidth="1"/>
    <col min="5396" max="5396" width="12.5" style="156" bestFit="1" customWidth="1"/>
    <col min="5397" max="5632" width="9" style="156"/>
    <col min="5633" max="5633" width="8.125" style="156" customWidth="1"/>
    <col min="5634" max="5634" width="10" style="156" customWidth="1"/>
    <col min="5635" max="5635" width="10.25" style="156" bestFit="1" customWidth="1"/>
    <col min="5636" max="5638" width="11" style="156" customWidth="1"/>
    <col min="5639" max="5640" width="10.25" style="156" bestFit="1" customWidth="1"/>
    <col min="5641" max="5641" width="8.125" style="156" bestFit="1" customWidth="1"/>
    <col min="5642" max="5642" width="13.125" style="156" bestFit="1" customWidth="1"/>
    <col min="5643" max="5644" width="12.375" style="156" customWidth="1"/>
    <col min="5645" max="5645" width="13.125" style="156" bestFit="1" customWidth="1"/>
    <col min="5646" max="5646" width="12.625" style="156" bestFit="1" customWidth="1"/>
    <col min="5647" max="5647" width="5.5" style="156" customWidth="1"/>
    <col min="5648" max="5649" width="9" style="156"/>
    <col min="5650" max="5651" width="11.125" style="156" customWidth="1"/>
    <col min="5652" max="5652" width="12.5" style="156" bestFit="1" customWidth="1"/>
    <col min="5653" max="5888" width="9" style="156"/>
    <col min="5889" max="5889" width="8.125" style="156" customWidth="1"/>
    <col min="5890" max="5890" width="10" style="156" customWidth="1"/>
    <col min="5891" max="5891" width="10.25" style="156" bestFit="1" customWidth="1"/>
    <col min="5892" max="5894" width="11" style="156" customWidth="1"/>
    <col min="5895" max="5896" width="10.25" style="156" bestFit="1" customWidth="1"/>
    <col min="5897" max="5897" width="8.125" style="156" bestFit="1" customWidth="1"/>
    <col min="5898" max="5898" width="13.125" style="156" bestFit="1" customWidth="1"/>
    <col min="5899" max="5900" width="12.375" style="156" customWidth="1"/>
    <col min="5901" max="5901" width="13.125" style="156" bestFit="1" customWidth="1"/>
    <col min="5902" max="5902" width="12.625" style="156" bestFit="1" customWidth="1"/>
    <col min="5903" max="5903" width="5.5" style="156" customWidth="1"/>
    <col min="5904" max="5905" width="9" style="156"/>
    <col min="5906" max="5907" width="11.125" style="156" customWidth="1"/>
    <col min="5908" max="5908" width="12.5" style="156" bestFit="1" customWidth="1"/>
    <col min="5909" max="6144" width="9" style="156"/>
    <col min="6145" max="6145" width="8.125" style="156" customWidth="1"/>
    <col min="6146" max="6146" width="10" style="156" customWidth="1"/>
    <col min="6147" max="6147" width="10.25" style="156" bestFit="1" customWidth="1"/>
    <col min="6148" max="6150" width="11" style="156" customWidth="1"/>
    <col min="6151" max="6152" width="10.25" style="156" bestFit="1" customWidth="1"/>
    <col min="6153" max="6153" width="8.125" style="156" bestFit="1" customWidth="1"/>
    <col min="6154" max="6154" width="13.125" style="156" bestFit="1" customWidth="1"/>
    <col min="6155" max="6156" width="12.375" style="156" customWidth="1"/>
    <col min="6157" max="6157" width="13.125" style="156" bestFit="1" customWidth="1"/>
    <col min="6158" max="6158" width="12.625" style="156" bestFit="1" customWidth="1"/>
    <col min="6159" max="6159" width="5.5" style="156" customWidth="1"/>
    <col min="6160" max="6161" width="9" style="156"/>
    <col min="6162" max="6163" width="11.125" style="156" customWidth="1"/>
    <col min="6164" max="6164" width="12.5" style="156" bestFit="1" customWidth="1"/>
    <col min="6165" max="6400" width="9" style="156"/>
    <col min="6401" max="6401" width="8.125" style="156" customWidth="1"/>
    <col min="6402" max="6402" width="10" style="156" customWidth="1"/>
    <col min="6403" max="6403" width="10.25" style="156" bestFit="1" customWidth="1"/>
    <col min="6404" max="6406" width="11" style="156" customWidth="1"/>
    <col min="6407" max="6408" width="10.25" style="156" bestFit="1" customWidth="1"/>
    <col min="6409" max="6409" width="8.125" style="156" bestFit="1" customWidth="1"/>
    <col min="6410" max="6410" width="13.125" style="156" bestFit="1" customWidth="1"/>
    <col min="6411" max="6412" width="12.375" style="156" customWidth="1"/>
    <col min="6413" max="6413" width="13.125" style="156" bestFit="1" customWidth="1"/>
    <col min="6414" max="6414" width="12.625" style="156" bestFit="1" customWidth="1"/>
    <col min="6415" max="6415" width="5.5" style="156" customWidth="1"/>
    <col min="6416" max="6417" width="9" style="156"/>
    <col min="6418" max="6419" width="11.125" style="156" customWidth="1"/>
    <col min="6420" max="6420" width="12.5" style="156" bestFit="1" customWidth="1"/>
    <col min="6421" max="6656" width="9" style="156"/>
    <col min="6657" max="6657" width="8.125" style="156" customWidth="1"/>
    <col min="6658" max="6658" width="10" style="156" customWidth="1"/>
    <col min="6659" max="6659" width="10.25" style="156" bestFit="1" customWidth="1"/>
    <col min="6660" max="6662" width="11" style="156" customWidth="1"/>
    <col min="6663" max="6664" width="10.25" style="156" bestFit="1" customWidth="1"/>
    <col min="6665" max="6665" width="8.125" style="156" bestFit="1" customWidth="1"/>
    <col min="6666" max="6666" width="13.125" style="156" bestFit="1" customWidth="1"/>
    <col min="6667" max="6668" width="12.375" style="156" customWidth="1"/>
    <col min="6669" max="6669" width="13.125" style="156" bestFit="1" customWidth="1"/>
    <col min="6670" max="6670" width="12.625" style="156" bestFit="1" customWidth="1"/>
    <col min="6671" max="6671" width="5.5" style="156" customWidth="1"/>
    <col min="6672" max="6673" width="9" style="156"/>
    <col min="6674" max="6675" width="11.125" style="156" customWidth="1"/>
    <col min="6676" max="6676" width="12.5" style="156" bestFit="1" customWidth="1"/>
    <col min="6677" max="6912" width="9" style="156"/>
    <col min="6913" max="6913" width="8.125" style="156" customWidth="1"/>
    <col min="6914" max="6914" width="10" style="156" customWidth="1"/>
    <col min="6915" max="6915" width="10.25" style="156" bestFit="1" customWidth="1"/>
    <col min="6916" max="6918" width="11" style="156" customWidth="1"/>
    <col min="6919" max="6920" width="10.25" style="156" bestFit="1" customWidth="1"/>
    <col min="6921" max="6921" width="8.125" style="156" bestFit="1" customWidth="1"/>
    <col min="6922" max="6922" width="13.125" style="156" bestFit="1" customWidth="1"/>
    <col min="6923" max="6924" width="12.375" style="156" customWidth="1"/>
    <col min="6925" max="6925" width="13.125" style="156" bestFit="1" customWidth="1"/>
    <col min="6926" max="6926" width="12.625" style="156" bestFit="1" customWidth="1"/>
    <col min="6927" max="6927" width="5.5" style="156" customWidth="1"/>
    <col min="6928" max="6929" width="9" style="156"/>
    <col min="6930" max="6931" width="11.125" style="156" customWidth="1"/>
    <col min="6932" max="6932" width="12.5" style="156" bestFit="1" customWidth="1"/>
    <col min="6933" max="7168" width="9" style="156"/>
    <col min="7169" max="7169" width="8.125" style="156" customWidth="1"/>
    <col min="7170" max="7170" width="10" style="156" customWidth="1"/>
    <col min="7171" max="7171" width="10.25" style="156" bestFit="1" customWidth="1"/>
    <col min="7172" max="7174" width="11" style="156" customWidth="1"/>
    <col min="7175" max="7176" width="10.25" style="156" bestFit="1" customWidth="1"/>
    <col min="7177" max="7177" width="8.125" style="156" bestFit="1" customWidth="1"/>
    <col min="7178" max="7178" width="13.125" style="156" bestFit="1" customWidth="1"/>
    <col min="7179" max="7180" width="12.375" style="156" customWidth="1"/>
    <col min="7181" max="7181" width="13.125" style="156" bestFit="1" customWidth="1"/>
    <col min="7182" max="7182" width="12.625" style="156" bestFit="1" customWidth="1"/>
    <col min="7183" max="7183" width="5.5" style="156" customWidth="1"/>
    <col min="7184" max="7185" width="9" style="156"/>
    <col min="7186" max="7187" width="11.125" style="156" customWidth="1"/>
    <col min="7188" max="7188" width="12.5" style="156" bestFit="1" customWidth="1"/>
    <col min="7189" max="7424" width="9" style="156"/>
    <col min="7425" max="7425" width="8.125" style="156" customWidth="1"/>
    <col min="7426" max="7426" width="10" style="156" customWidth="1"/>
    <col min="7427" max="7427" width="10.25" style="156" bestFit="1" customWidth="1"/>
    <col min="7428" max="7430" width="11" style="156" customWidth="1"/>
    <col min="7431" max="7432" width="10.25" style="156" bestFit="1" customWidth="1"/>
    <col min="7433" max="7433" width="8.125" style="156" bestFit="1" customWidth="1"/>
    <col min="7434" max="7434" width="13.125" style="156" bestFit="1" customWidth="1"/>
    <col min="7435" max="7436" width="12.375" style="156" customWidth="1"/>
    <col min="7437" max="7437" width="13.125" style="156" bestFit="1" customWidth="1"/>
    <col min="7438" max="7438" width="12.625" style="156" bestFit="1" customWidth="1"/>
    <col min="7439" max="7439" width="5.5" style="156" customWidth="1"/>
    <col min="7440" max="7441" width="9" style="156"/>
    <col min="7442" max="7443" width="11.125" style="156" customWidth="1"/>
    <col min="7444" max="7444" width="12.5" style="156" bestFit="1" customWidth="1"/>
    <col min="7445" max="7680" width="9" style="156"/>
    <col min="7681" max="7681" width="8.125" style="156" customWidth="1"/>
    <col min="7682" max="7682" width="10" style="156" customWidth="1"/>
    <col min="7683" max="7683" width="10.25" style="156" bestFit="1" customWidth="1"/>
    <col min="7684" max="7686" width="11" style="156" customWidth="1"/>
    <col min="7687" max="7688" width="10.25" style="156" bestFit="1" customWidth="1"/>
    <col min="7689" max="7689" width="8.125" style="156" bestFit="1" customWidth="1"/>
    <col min="7690" max="7690" width="13.125" style="156" bestFit="1" customWidth="1"/>
    <col min="7691" max="7692" width="12.375" style="156" customWidth="1"/>
    <col min="7693" max="7693" width="13.125" style="156" bestFit="1" customWidth="1"/>
    <col min="7694" max="7694" width="12.625" style="156" bestFit="1" customWidth="1"/>
    <col min="7695" max="7695" width="5.5" style="156" customWidth="1"/>
    <col min="7696" max="7697" width="9" style="156"/>
    <col min="7698" max="7699" width="11.125" style="156" customWidth="1"/>
    <col min="7700" max="7700" width="12.5" style="156" bestFit="1" customWidth="1"/>
    <col min="7701" max="7936" width="9" style="156"/>
    <col min="7937" max="7937" width="8.125" style="156" customWidth="1"/>
    <col min="7938" max="7938" width="10" style="156" customWidth="1"/>
    <col min="7939" max="7939" width="10.25" style="156" bestFit="1" customWidth="1"/>
    <col min="7940" max="7942" width="11" style="156" customWidth="1"/>
    <col min="7943" max="7944" width="10.25" style="156" bestFit="1" customWidth="1"/>
    <col min="7945" max="7945" width="8.125" style="156" bestFit="1" customWidth="1"/>
    <col min="7946" max="7946" width="13.125" style="156" bestFit="1" customWidth="1"/>
    <col min="7947" max="7948" width="12.375" style="156" customWidth="1"/>
    <col min="7949" max="7949" width="13.125" style="156" bestFit="1" customWidth="1"/>
    <col min="7950" max="7950" width="12.625" style="156" bestFit="1" customWidth="1"/>
    <col min="7951" max="7951" width="5.5" style="156" customWidth="1"/>
    <col min="7952" max="7953" width="9" style="156"/>
    <col min="7954" max="7955" width="11.125" style="156" customWidth="1"/>
    <col min="7956" max="7956" width="12.5" style="156" bestFit="1" customWidth="1"/>
    <col min="7957" max="8192" width="9" style="156"/>
    <col min="8193" max="8193" width="8.125" style="156" customWidth="1"/>
    <col min="8194" max="8194" width="10" style="156" customWidth="1"/>
    <col min="8195" max="8195" width="10.25" style="156" bestFit="1" customWidth="1"/>
    <col min="8196" max="8198" width="11" style="156" customWidth="1"/>
    <col min="8199" max="8200" width="10.25" style="156" bestFit="1" customWidth="1"/>
    <col min="8201" max="8201" width="8.125" style="156" bestFit="1" customWidth="1"/>
    <col min="8202" max="8202" width="13.125" style="156" bestFit="1" customWidth="1"/>
    <col min="8203" max="8204" width="12.375" style="156" customWidth="1"/>
    <col min="8205" max="8205" width="13.125" style="156" bestFit="1" customWidth="1"/>
    <col min="8206" max="8206" width="12.625" style="156" bestFit="1" customWidth="1"/>
    <col min="8207" max="8207" width="5.5" style="156" customWidth="1"/>
    <col min="8208" max="8209" width="9" style="156"/>
    <col min="8210" max="8211" width="11.125" style="156" customWidth="1"/>
    <col min="8212" max="8212" width="12.5" style="156" bestFit="1" customWidth="1"/>
    <col min="8213" max="8448" width="9" style="156"/>
    <col min="8449" max="8449" width="8.125" style="156" customWidth="1"/>
    <col min="8450" max="8450" width="10" style="156" customWidth="1"/>
    <col min="8451" max="8451" width="10.25" style="156" bestFit="1" customWidth="1"/>
    <col min="8452" max="8454" width="11" style="156" customWidth="1"/>
    <col min="8455" max="8456" width="10.25" style="156" bestFit="1" customWidth="1"/>
    <col min="8457" max="8457" width="8.125" style="156" bestFit="1" customWidth="1"/>
    <col min="8458" max="8458" width="13.125" style="156" bestFit="1" customWidth="1"/>
    <col min="8459" max="8460" width="12.375" style="156" customWidth="1"/>
    <col min="8461" max="8461" width="13.125" style="156" bestFit="1" customWidth="1"/>
    <col min="8462" max="8462" width="12.625" style="156" bestFit="1" customWidth="1"/>
    <col min="8463" max="8463" width="5.5" style="156" customWidth="1"/>
    <col min="8464" max="8465" width="9" style="156"/>
    <col min="8466" max="8467" width="11.125" style="156" customWidth="1"/>
    <col min="8468" max="8468" width="12.5" style="156" bestFit="1" customWidth="1"/>
    <col min="8469" max="8704" width="9" style="156"/>
    <col min="8705" max="8705" width="8.125" style="156" customWidth="1"/>
    <col min="8706" max="8706" width="10" style="156" customWidth="1"/>
    <col min="8707" max="8707" width="10.25" style="156" bestFit="1" customWidth="1"/>
    <col min="8708" max="8710" width="11" style="156" customWidth="1"/>
    <col min="8711" max="8712" width="10.25" style="156" bestFit="1" customWidth="1"/>
    <col min="8713" max="8713" width="8.125" style="156" bestFit="1" customWidth="1"/>
    <col min="8714" max="8714" width="13.125" style="156" bestFit="1" customWidth="1"/>
    <col min="8715" max="8716" width="12.375" style="156" customWidth="1"/>
    <col min="8717" max="8717" width="13.125" style="156" bestFit="1" customWidth="1"/>
    <col min="8718" max="8718" width="12.625" style="156" bestFit="1" customWidth="1"/>
    <col min="8719" max="8719" width="5.5" style="156" customWidth="1"/>
    <col min="8720" max="8721" width="9" style="156"/>
    <col min="8722" max="8723" width="11.125" style="156" customWidth="1"/>
    <col min="8724" max="8724" width="12.5" style="156" bestFit="1" customWidth="1"/>
    <col min="8725" max="8960" width="9" style="156"/>
    <col min="8961" max="8961" width="8.125" style="156" customWidth="1"/>
    <col min="8962" max="8962" width="10" style="156" customWidth="1"/>
    <col min="8963" max="8963" width="10.25" style="156" bestFit="1" customWidth="1"/>
    <col min="8964" max="8966" width="11" style="156" customWidth="1"/>
    <col min="8967" max="8968" width="10.25" style="156" bestFit="1" customWidth="1"/>
    <col min="8969" max="8969" width="8.125" style="156" bestFit="1" customWidth="1"/>
    <col min="8970" max="8970" width="13.125" style="156" bestFit="1" customWidth="1"/>
    <col min="8971" max="8972" width="12.375" style="156" customWidth="1"/>
    <col min="8973" max="8973" width="13.125" style="156" bestFit="1" customWidth="1"/>
    <col min="8974" max="8974" width="12.625" style="156" bestFit="1" customWidth="1"/>
    <col min="8975" max="8975" width="5.5" style="156" customWidth="1"/>
    <col min="8976" max="8977" width="9" style="156"/>
    <col min="8978" max="8979" width="11.125" style="156" customWidth="1"/>
    <col min="8980" max="8980" width="12.5" style="156" bestFit="1" customWidth="1"/>
    <col min="8981" max="9216" width="9" style="156"/>
    <col min="9217" max="9217" width="8.125" style="156" customWidth="1"/>
    <col min="9218" max="9218" width="10" style="156" customWidth="1"/>
    <col min="9219" max="9219" width="10.25" style="156" bestFit="1" customWidth="1"/>
    <col min="9220" max="9222" width="11" style="156" customWidth="1"/>
    <col min="9223" max="9224" width="10.25" style="156" bestFit="1" customWidth="1"/>
    <col min="9225" max="9225" width="8.125" style="156" bestFit="1" customWidth="1"/>
    <col min="9226" max="9226" width="13.125" style="156" bestFit="1" customWidth="1"/>
    <col min="9227" max="9228" width="12.375" style="156" customWidth="1"/>
    <col min="9229" max="9229" width="13.125" style="156" bestFit="1" customWidth="1"/>
    <col min="9230" max="9230" width="12.625" style="156" bestFit="1" customWidth="1"/>
    <col min="9231" max="9231" width="5.5" style="156" customWidth="1"/>
    <col min="9232" max="9233" width="9" style="156"/>
    <col min="9234" max="9235" width="11.125" style="156" customWidth="1"/>
    <col min="9236" max="9236" width="12.5" style="156" bestFit="1" customWidth="1"/>
    <col min="9237" max="9472" width="9" style="156"/>
    <col min="9473" max="9473" width="8.125" style="156" customWidth="1"/>
    <col min="9474" max="9474" width="10" style="156" customWidth="1"/>
    <col min="9475" max="9475" width="10.25" style="156" bestFit="1" customWidth="1"/>
    <col min="9476" max="9478" width="11" style="156" customWidth="1"/>
    <col min="9479" max="9480" width="10.25" style="156" bestFit="1" customWidth="1"/>
    <col min="9481" max="9481" width="8.125" style="156" bestFit="1" customWidth="1"/>
    <col min="9482" max="9482" width="13.125" style="156" bestFit="1" customWidth="1"/>
    <col min="9483" max="9484" width="12.375" style="156" customWidth="1"/>
    <col min="9485" max="9485" width="13.125" style="156" bestFit="1" customWidth="1"/>
    <col min="9486" max="9486" width="12.625" style="156" bestFit="1" customWidth="1"/>
    <col min="9487" max="9487" width="5.5" style="156" customWidth="1"/>
    <col min="9488" max="9489" width="9" style="156"/>
    <col min="9490" max="9491" width="11.125" style="156" customWidth="1"/>
    <col min="9492" max="9492" width="12.5" style="156" bestFit="1" customWidth="1"/>
    <col min="9493" max="9728" width="9" style="156"/>
    <col min="9729" max="9729" width="8.125" style="156" customWidth="1"/>
    <col min="9730" max="9730" width="10" style="156" customWidth="1"/>
    <col min="9731" max="9731" width="10.25" style="156" bestFit="1" customWidth="1"/>
    <col min="9732" max="9734" width="11" style="156" customWidth="1"/>
    <col min="9735" max="9736" width="10.25" style="156" bestFit="1" customWidth="1"/>
    <col min="9737" max="9737" width="8.125" style="156" bestFit="1" customWidth="1"/>
    <col min="9738" max="9738" width="13.125" style="156" bestFit="1" customWidth="1"/>
    <col min="9739" max="9740" width="12.375" style="156" customWidth="1"/>
    <col min="9741" max="9741" width="13.125" style="156" bestFit="1" customWidth="1"/>
    <col min="9742" max="9742" width="12.625" style="156" bestFit="1" customWidth="1"/>
    <col min="9743" max="9743" width="5.5" style="156" customWidth="1"/>
    <col min="9744" max="9745" width="9" style="156"/>
    <col min="9746" max="9747" width="11.125" style="156" customWidth="1"/>
    <col min="9748" max="9748" width="12.5" style="156" bestFit="1" customWidth="1"/>
    <col min="9749" max="9984" width="9" style="156"/>
    <col min="9985" max="9985" width="8.125" style="156" customWidth="1"/>
    <col min="9986" max="9986" width="10" style="156" customWidth="1"/>
    <col min="9987" max="9987" width="10.25" style="156" bestFit="1" customWidth="1"/>
    <col min="9988" max="9990" width="11" style="156" customWidth="1"/>
    <col min="9991" max="9992" width="10.25" style="156" bestFit="1" customWidth="1"/>
    <col min="9993" max="9993" width="8.125" style="156" bestFit="1" customWidth="1"/>
    <col min="9994" max="9994" width="13.125" style="156" bestFit="1" customWidth="1"/>
    <col min="9995" max="9996" width="12.375" style="156" customWidth="1"/>
    <col min="9997" max="9997" width="13.125" style="156" bestFit="1" customWidth="1"/>
    <col min="9998" max="9998" width="12.625" style="156" bestFit="1" customWidth="1"/>
    <col min="9999" max="9999" width="5.5" style="156" customWidth="1"/>
    <col min="10000" max="10001" width="9" style="156"/>
    <col min="10002" max="10003" width="11.125" style="156" customWidth="1"/>
    <col min="10004" max="10004" width="12.5" style="156" bestFit="1" customWidth="1"/>
    <col min="10005" max="10240" width="9" style="156"/>
    <col min="10241" max="10241" width="8.125" style="156" customWidth="1"/>
    <col min="10242" max="10242" width="10" style="156" customWidth="1"/>
    <col min="10243" max="10243" width="10.25" style="156" bestFit="1" customWidth="1"/>
    <col min="10244" max="10246" width="11" style="156" customWidth="1"/>
    <col min="10247" max="10248" width="10.25" style="156" bestFit="1" customWidth="1"/>
    <col min="10249" max="10249" width="8.125" style="156" bestFit="1" customWidth="1"/>
    <col min="10250" max="10250" width="13.125" style="156" bestFit="1" customWidth="1"/>
    <col min="10251" max="10252" width="12.375" style="156" customWidth="1"/>
    <col min="10253" max="10253" width="13.125" style="156" bestFit="1" customWidth="1"/>
    <col min="10254" max="10254" width="12.625" style="156" bestFit="1" customWidth="1"/>
    <col min="10255" max="10255" width="5.5" style="156" customWidth="1"/>
    <col min="10256" max="10257" width="9" style="156"/>
    <col min="10258" max="10259" width="11.125" style="156" customWidth="1"/>
    <col min="10260" max="10260" width="12.5" style="156" bestFit="1" customWidth="1"/>
    <col min="10261" max="10496" width="9" style="156"/>
    <col min="10497" max="10497" width="8.125" style="156" customWidth="1"/>
    <col min="10498" max="10498" width="10" style="156" customWidth="1"/>
    <col min="10499" max="10499" width="10.25" style="156" bestFit="1" customWidth="1"/>
    <col min="10500" max="10502" width="11" style="156" customWidth="1"/>
    <col min="10503" max="10504" width="10.25" style="156" bestFit="1" customWidth="1"/>
    <col min="10505" max="10505" width="8.125" style="156" bestFit="1" customWidth="1"/>
    <col min="10506" max="10506" width="13.125" style="156" bestFit="1" customWidth="1"/>
    <col min="10507" max="10508" width="12.375" style="156" customWidth="1"/>
    <col min="10509" max="10509" width="13.125" style="156" bestFit="1" customWidth="1"/>
    <col min="10510" max="10510" width="12.625" style="156" bestFit="1" customWidth="1"/>
    <col min="10511" max="10511" width="5.5" style="156" customWidth="1"/>
    <col min="10512" max="10513" width="9" style="156"/>
    <col min="10514" max="10515" width="11.125" style="156" customWidth="1"/>
    <col min="10516" max="10516" width="12.5" style="156" bestFit="1" customWidth="1"/>
    <col min="10517" max="10752" width="9" style="156"/>
    <col min="10753" max="10753" width="8.125" style="156" customWidth="1"/>
    <col min="10754" max="10754" width="10" style="156" customWidth="1"/>
    <col min="10755" max="10755" width="10.25" style="156" bestFit="1" customWidth="1"/>
    <col min="10756" max="10758" width="11" style="156" customWidth="1"/>
    <col min="10759" max="10760" width="10.25" style="156" bestFit="1" customWidth="1"/>
    <col min="10761" max="10761" width="8.125" style="156" bestFit="1" customWidth="1"/>
    <col min="10762" max="10762" width="13.125" style="156" bestFit="1" customWidth="1"/>
    <col min="10763" max="10764" width="12.375" style="156" customWidth="1"/>
    <col min="10765" max="10765" width="13.125" style="156" bestFit="1" customWidth="1"/>
    <col min="10766" max="10766" width="12.625" style="156" bestFit="1" customWidth="1"/>
    <col min="10767" max="10767" width="5.5" style="156" customWidth="1"/>
    <col min="10768" max="10769" width="9" style="156"/>
    <col min="10770" max="10771" width="11.125" style="156" customWidth="1"/>
    <col min="10772" max="10772" width="12.5" style="156" bestFit="1" customWidth="1"/>
    <col min="10773" max="11008" width="9" style="156"/>
    <col min="11009" max="11009" width="8.125" style="156" customWidth="1"/>
    <col min="11010" max="11010" width="10" style="156" customWidth="1"/>
    <col min="11011" max="11011" width="10.25" style="156" bestFit="1" customWidth="1"/>
    <col min="11012" max="11014" width="11" style="156" customWidth="1"/>
    <col min="11015" max="11016" width="10.25" style="156" bestFit="1" customWidth="1"/>
    <col min="11017" max="11017" width="8.125" style="156" bestFit="1" customWidth="1"/>
    <col min="11018" max="11018" width="13.125" style="156" bestFit="1" customWidth="1"/>
    <col min="11019" max="11020" width="12.375" style="156" customWidth="1"/>
    <col min="11021" max="11021" width="13.125" style="156" bestFit="1" customWidth="1"/>
    <col min="11022" max="11022" width="12.625" style="156" bestFit="1" customWidth="1"/>
    <col min="11023" max="11023" width="5.5" style="156" customWidth="1"/>
    <col min="11024" max="11025" width="9" style="156"/>
    <col min="11026" max="11027" width="11.125" style="156" customWidth="1"/>
    <col min="11028" max="11028" width="12.5" style="156" bestFit="1" customWidth="1"/>
    <col min="11029" max="11264" width="9" style="156"/>
    <col min="11265" max="11265" width="8.125" style="156" customWidth="1"/>
    <col min="11266" max="11266" width="10" style="156" customWidth="1"/>
    <col min="11267" max="11267" width="10.25" style="156" bestFit="1" customWidth="1"/>
    <col min="11268" max="11270" width="11" style="156" customWidth="1"/>
    <col min="11271" max="11272" width="10.25" style="156" bestFit="1" customWidth="1"/>
    <col min="11273" max="11273" width="8.125" style="156" bestFit="1" customWidth="1"/>
    <col min="11274" max="11274" width="13.125" style="156" bestFit="1" customWidth="1"/>
    <col min="11275" max="11276" width="12.375" style="156" customWidth="1"/>
    <col min="11277" max="11277" width="13.125" style="156" bestFit="1" customWidth="1"/>
    <col min="11278" max="11278" width="12.625" style="156" bestFit="1" customWidth="1"/>
    <col min="11279" max="11279" width="5.5" style="156" customWidth="1"/>
    <col min="11280" max="11281" width="9" style="156"/>
    <col min="11282" max="11283" width="11.125" style="156" customWidth="1"/>
    <col min="11284" max="11284" width="12.5" style="156" bestFit="1" customWidth="1"/>
    <col min="11285" max="11520" width="9" style="156"/>
    <col min="11521" max="11521" width="8.125" style="156" customWidth="1"/>
    <col min="11522" max="11522" width="10" style="156" customWidth="1"/>
    <col min="11523" max="11523" width="10.25" style="156" bestFit="1" customWidth="1"/>
    <col min="11524" max="11526" width="11" style="156" customWidth="1"/>
    <col min="11527" max="11528" width="10.25" style="156" bestFit="1" customWidth="1"/>
    <col min="11529" max="11529" width="8.125" style="156" bestFit="1" customWidth="1"/>
    <col min="11530" max="11530" width="13.125" style="156" bestFit="1" customWidth="1"/>
    <col min="11531" max="11532" width="12.375" style="156" customWidth="1"/>
    <col min="11533" max="11533" width="13.125" style="156" bestFit="1" customWidth="1"/>
    <col min="11534" max="11534" width="12.625" style="156" bestFit="1" customWidth="1"/>
    <col min="11535" max="11535" width="5.5" style="156" customWidth="1"/>
    <col min="11536" max="11537" width="9" style="156"/>
    <col min="11538" max="11539" width="11.125" style="156" customWidth="1"/>
    <col min="11540" max="11540" width="12.5" style="156" bestFit="1" customWidth="1"/>
    <col min="11541" max="11776" width="9" style="156"/>
    <col min="11777" max="11777" width="8.125" style="156" customWidth="1"/>
    <col min="11778" max="11778" width="10" style="156" customWidth="1"/>
    <col min="11779" max="11779" width="10.25" style="156" bestFit="1" customWidth="1"/>
    <col min="11780" max="11782" width="11" style="156" customWidth="1"/>
    <col min="11783" max="11784" width="10.25" style="156" bestFit="1" customWidth="1"/>
    <col min="11785" max="11785" width="8.125" style="156" bestFit="1" customWidth="1"/>
    <col min="11786" max="11786" width="13.125" style="156" bestFit="1" customWidth="1"/>
    <col min="11787" max="11788" width="12.375" style="156" customWidth="1"/>
    <col min="11789" max="11789" width="13.125" style="156" bestFit="1" customWidth="1"/>
    <col min="11790" max="11790" width="12.625" style="156" bestFit="1" customWidth="1"/>
    <col min="11791" max="11791" width="5.5" style="156" customWidth="1"/>
    <col min="11792" max="11793" width="9" style="156"/>
    <col min="11794" max="11795" width="11.125" style="156" customWidth="1"/>
    <col min="11796" max="11796" width="12.5" style="156" bestFit="1" customWidth="1"/>
    <col min="11797" max="12032" width="9" style="156"/>
    <col min="12033" max="12033" width="8.125" style="156" customWidth="1"/>
    <col min="12034" max="12034" width="10" style="156" customWidth="1"/>
    <col min="12035" max="12035" width="10.25" style="156" bestFit="1" customWidth="1"/>
    <col min="12036" max="12038" width="11" style="156" customWidth="1"/>
    <col min="12039" max="12040" width="10.25" style="156" bestFit="1" customWidth="1"/>
    <col min="12041" max="12041" width="8.125" style="156" bestFit="1" customWidth="1"/>
    <col min="12042" max="12042" width="13.125" style="156" bestFit="1" customWidth="1"/>
    <col min="12043" max="12044" width="12.375" style="156" customWidth="1"/>
    <col min="12045" max="12045" width="13.125" style="156" bestFit="1" customWidth="1"/>
    <col min="12046" max="12046" width="12.625" style="156" bestFit="1" customWidth="1"/>
    <col min="12047" max="12047" width="5.5" style="156" customWidth="1"/>
    <col min="12048" max="12049" width="9" style="156"/>
    <col min="12050" max="12051" width="11.125" style="156" customWidth="1"/>
    <col min="12052" max="12052" width="12.5" style="156" bestFit="1" customWidth="1"/>
    <col min="12053" max="12288" width="9" style="156"/>
    <col min="12289" max="12289" width="8.125" style="156" customWidth="1"/>
    <col min="12290" max="12290" width="10" style="156" customWidth="1"/>
    <col min="12291" max="12291" width="10.25" style="156" bestFit="1" customWidth="1"/>
    <col min="12292" max="12294" width="11" style="156" customWidth="1"/>
    <col min="12295" max="12296" width="10.25" style="156" bestFit="1" customWidth="1"/>
    <col min="12297" max="12297" width="8.125" style="156" bestFit="1" customWidth="1"/>
    <col min="12298" max="12298" width="13.125" style="156" bestFit="1" customWidth="1"/>
    <col min="12299" max="12300" width="12.375" style="156" customWidth="1"/>
    <col min="12301" max="12301" width="13.125" style="156" bestFit="1" customWidth="1"/>
    <col min="12302" max="12302" width="12.625" style="156" bestFit="1" customWidth="1"/>
    <col min="12303" max="12303" width="5.5" style="156" customWidth="1"/>
    <col min="12304" max="12305" width="9" style="156"/>
    <col min="12306" max="12307" width="11.125" style="156" customWidth="1"/>
    <col min="12308" max="12308" width="12.5" style="156" bestFit="1" customWidth="1"/>
    <col min="12309" max="12544" width="9" style="156"/>
    <col min="12545" max="12545" width="8.125" style="156" customWidth="1"/>
    <col min="12546" max="12546" width="10" style="156" customWidth="1"/>
    <col min="12547" max="12547" width="10.25" style="156" bestFit="1" customWidth="1"/>
    <col min="12548" max="12550" width="11" style="156" customWidth="1"/>
    <col min="12551" max="12552" width="10.25" style="156" bestFit="1" customWidth="1"/>
    <col min="12553" max="12553" width="8.125" style="156" bestFit="1" customWidth="1"/>
    <col min="12554" max="12554" width="13.125" style="156" bestFit="1" customWidth="1"/>
    <col min="12555" max="12556" width="12.375" style="156" customWidth="1"/>
    <col min="12557" max="12557" width="13.125" style="156" bestFit="1" customWidth="1"/>
    <col min="12558" max="12558" width="12.625" style="156" bestFit="1" customWidth="1"/>
    <col min="12559" max="12559" width="5.5" style="156" customWidth="1"/>
    <col min="12560" max="12561" width="9" style="156"/>
    <col min="12562" max="12563" width="11.125" style="156" customWidth="1"/>
    <col min="12564" max="12564" width="12.5" style="156" bestFit="1" customWidth="1"/>
    <col min="12565" max="12800" width="9" style="156"/>
    <col min="12801" max="12801" width="8.125" style="156" customWidth="1"/>
    <col min="12802" max="12802" width="10" style="156" customWidth="1"/>
    <col min="12803" max="12803" width="10.25" style="156" bestFit="1" customWidth="1"/>
    <col min="12804" max="12806" width="11" style="156" customWidth="1"/>
    <col min="12807" max="12808" width="10.25" style="156" bestFit="1" customWidth="1"/>
    <col min="12809" max="12809" width="8.125" style="156" bestFit="1" customWidth="1"/>
    <col min="12810" max="12810" width="13.125" style="156" bestFit="1" customWidth="1"/>
    <col min="12811" max="12812" width="12.375" style="156" customWidth="1"/>
    <col min="12813" max="12813" width="13.125" style="156" bestFit="1" customWidth="1"/>
    <col min="12814" max="12814" width="12.625" style="156" bestFit="1" customWidth="1"/>
    <col min="12815" max="12815" width="5.5" style="156" customWidth="1"/>
    <col min="12816" max="12817" width="9" style="156"/>
    <col min="12818" max="12819" width="11.125" style="156" customWidth="1"/>
    <col min="12820" max="12820" width="12.5" style="156" bestFit="1" customWidth="1"/>
    <col min="12821" max="13056" width="9" style="156"/>
    <col min="13057" max="13057" width="8.125" style="156" customWidth="1"/>
    <col min="13058" max="13058" width="10" style="156" customWidth="1"/>
    <col min="13059" max="13059" width="10.25" style="156" bestFit="1" customWidth="1"/>
    <col min="13060" max="13062" width="11" style="156" customWidth="1"/>
    <col min="13063" max="13064" width="10.25" style="156" bestFit="1" customWidth="1"/>
    <col min="13065" max="13065" width="8.125" style="156" bestFit="1" customWidth="1"/>
    <col min="13066" max="13066" width="13.125" style="156" bestFit="1" customWidth="1"/>
    <col min="13067" max="13068" width="12.375" style="156" customWidth="1"/>
    <col min="13069" max="13069" width="13.125" style="156" bestFit="1" customWidth="1"/>
    <col min="13070" max="13070" width="12.625" style="156" bestFit="1" customWidth="1"/>
    <col min="13071" max="13071" width="5.5" style="156" customWidth="1"/>
    <col min="13072" max="13073" width="9" style="156"/>
    <col min="13074" max="13075" width="11.125" style="156" customWidth="1"/>
    <col min="13076" max="13076" width="12.5" style="156" bestFit="1" customWidth="1"/>
    <col min="13077" max="13312" width="9" style="156"/>
    <col min="13313" max="13313" width="8.125" style="156" customWidth="1"/>
    <col min="13314" max="13314" width="10" style="156" customWidth="1"/>
    <col min="13315" max="13315" width="10.25" style="156" bestFit="1" customWidth="1"/>
    <col min="13316" max="13318" width="11" style="156" customWidth="1"/>
    <col min="13319" max="13320" width="10.25" style="156" bestFit="1" customWidth="1"/>
    <col min="13321" max="13321" width="8.125" style="156" bestFit="1" customWidth="1"/>
    <col min="13322" max="13322" width="13.125" style="156" bestFit="1" customWidth="1"/>
    <col min="13323" max="13324" width="12.375" style="156" customWidth="1"/>
    <col min="13325" max="13325" width="13.125" style="156" bestFit="1" customWidth="1"/>
    <col min="13326" max="13326" width="12.625" style="156" bestFit="1" customWidth="1"/>
    <col min="13327" max="13327" width="5.5" style="156" customWidth="1"/>
    <col min="13328" max="13329" width="9" style="156"/>
    <col min="13330" max="13331" width="11.125" style="156" customWidth="1"/>
    <col min="13332" max="13332" width="12.5" style="156" bestFit="1" customWidth="1"/>
    <col min="13333" max="13568" width="9" style="156"/>
    <col min="13569" max="13569" width="8.125" style="156" customWidth="1"/>
    <col min="13570" max="13570" width="10" style="156" customWidth="1"/>
    <col min="13571" max="13571" width="10.25" style="156" bestFit="1" customWidth="1"/>
    <col min="13572" max="13574" width="11" style="156" customWidth="1"/>
    <col min="13575" max="13576" width="10.25" style="156" bestFit="1" customWidth="1"/>
    <col min="13577" max="13577" width="8.125" style="156" bestFit="1" customWidth="1"/>
    <col min="13578" max="13578" width="13.125" style="156" bestFit="1" customWidth="1"/>
    <col min="13579" max="13580" width="12.375" style="156" customWidth="1"/>
    <col min="13581" max="13581" width="13.125" style="156" bestFit="1" customWidth="1"/>
    <col min="13582" max="13582" width="12.625" style="156" bestFit="1" customWidth="1"/>
    <col min="13583" max="13583" width="5.5" style="156" customWidth="1"/>
    <col min="13584" max="13585" width="9" style="156"/>
    <col min="13586" max="13587" width="11.125" style="156" customWidth="1"/>
    <col min="13588" max="13588" width="12.5" style="156" bestFit="1" customWidth="1"/>
    <col min="13589" max="13824" width="9" style="156"/>
    <col min="13825" max="13825" width="8.125" style="156" customWidth="1"/>
    <col min="13826" max="13826" width="10" style="156" customWidth="1"/>
    <col min="13827" max="13827" width="10.25" style="156" bestFit="1" customWidth="1"/>
    <col min="13828" max="13830" width="11" style="156" customWidth="1"/>
    <col min="13831" max="13832" width="10.25" style="156" bestFit="1" customWidth="1"/>
    <col min="13833" max="13833" width="8.125" style="156" bestFit="1" customWidth="1"/>
    <col min="13834" max="13834" width="13.125" style="156" bestFit="1" customWidth="1"/>
    <col min="13835" max="13836" width="12.375" style="156" customWidth="1"/>
    <col min="13837" max="13837" width="13.125" style="156" bestFit="1" customWidth="1"/>
    <col min="13838" max="13838" width="12.625" style="156" bestFit="1" customWidth="1"/>
    <col min="13839" max="13839" width="5.5" style="156" customWidth="1"/>
    <col min="13840" max="13841" width="9" style="156"/>
    <col min="13842" max="13843" width="11.125" style="156" customWidth="1"/>
    <col min="13844" max="13844" width="12.5" style="156" bestFit="1" customWidth="1"/>
    <col min="13845" max="14080" width="9" style="156"/>
    <col min="14081" max="14081" width="8.125" style="156" customWidth="1"/>
    <col min="14082" max="14082" width="10" style="156" customWidth="1"/>
    <col min="14083" max="14083" width="10.25" style="156" bestFit="1" customWidth="1"/>
    <col min="14084" max="14086" width="11" style="156" customWidth="1"/>
    <col min="14087" max="14088" width="10.25" style="156" bestFit="1" customWidth="1"/>
    <col min="14089" max="14089" width="8.125" style="156" bestFit="1" customWidth="1"/>
    <col min="14090" max="14090" width="13.125" style="156" bestFit="1" customWidth="1"/>
    <col min="14091" max="14092" width="12.375" style="156" customWidth="1"/>
    <col min="14093" max="14093" width="13.125" style="156" bestFit="1" customWidth="1"/>
    <col min="14094" max="14094" width="12.625" style="156" bestFit="1" customWidth="1"/>
    <col min="14095" max="14095" width="5.5" style="156" customWidth="1"/>
    <col min="14096" max="14097" width="9" style="156"/>
    <col min="14098" max="14099" width="11.125" style="156" customWidth="1"/>
    <col min="14100" max="14100" width="12.5" style="156" bestFit="1" customWidth="1"/>
    <col min="14101" max="14336" width="9" style="156"/>
    <col min="14337" max="14337" width="8.125" style="156" customWidth="1"/>
    <col min="14338" max="14338" width="10" style="156" customWidth="1"/>
    <col min="14339" max="14339" width="10.25" style="156" bestFit="1" customWidth="1"/>
    <col min="14340" max="14342" width="11" style="156" customWidth="1"/>
    <col min="14343" max="14344" width="10.25" style="156" bestFit="1" customWidth="1"/>
    <col min="14345" max="14345" width="8.125" style="156" bestFit="1" customWidth="1"/>
    <col min="14346" max="14346" width="13.125" style="156" bestFit="1" customWidth="1"/>
    <col min="14347" max="14348" width="12.375" style="156" customWidth="1"/>
    <col min="14349" max="14349" width="13.125" style="156" bestFit="1" customWidth="1"/>
    <col min="14350" max="14350" width="12.625" style="156" bestFit="1" customWidth="1"/>
    <col min="14351" max="14351" width="5.5" style="156" customWidth="1"/>
    <col min="14352" max="14353" width="9" style="156"/>
    <col min="14354" max="14355" width="11.125" style="156" customWidth="1"/>
    <col min="14356" max="14356" width="12.5" style="156" bestFit="1" customWidth="1"/>
    <col min="14357" max="14592" width="9" style="156"/>
    <col min="14593" max="14593" width="8.125" style="156" customWidth="1"/>
    <col min="14594" max="14594" width="10" style="156" customWidth="1"/>
    <col min="14595" max="14595" width="10.25" style="156" bestFit="1" customWidth="1"/>
    <col min="14596" max="14598" width="11" style="156" customWidth="1"/>
    <col min="14599" max="14600" width="10.25" style="156" bestFit="1" customWidth="1"/>
    <col min="14601" max="14601" width="8.125" style="156" bestFit="1" customWidth="1"/>
    <col min="14602" max="14602" width="13.125" style="156" bestFit="1" customWidth="1"/>
    <col min="14603" max="14604" width="12.375" style="156" customWidth="1"/>
    <col min="14605" max="14605" width="13.125" style="156" bestFit="1" customWidth="1"/>
    <col min="14606" max="14606" width="12.625" style="156" bestFit="1" customWidth="1"/>
    <col min="14607" max="14607" width="5.5" style="156" customWidth="1"/>
    <col min="14608" max="14609" width="9" style="156"/>
    <col min="14610" max="14611" width="11.125" style="156" customWidth="1"/>
    <col min="14612" max="14612" width="12.5" style="156" bestFit="1" customWidth="1"/>
    <col min="14613" max="14848" width="9" style="156"/>
    <col min="14849" max="14849" width="8.125" style="156" customWidth="1"/>
    <col min="14850" max="14850" width="10" style="156" customWidth="1"/>
    <col min="14851" max="14851" width="10.25" style="156" bestFit="1" customWidth="1"/>
    <col min="14852" max="14854" width="11" style="156" customWidth="1"/>
    <col min="14855" max="14856" width="10.25" style="156" bestFit="1" customWidth="1"/>
    <col min="14857" max="14857" width="8.125" style="156" bestFit="1" customWidth="1"/>
    <col min="14858" max="14858" width="13.125" style="156" bestFit="1" customWidth="1"/>
    <col min="14859" max="14860" width="12.375" style="156" customWidth="1"/>
    <col min="14861" max="14861" width="13.125" style="156" bestFit="1" customWidth="1"/>
    <col min="14862" max="14862" width="12.625" style="156" bestFit="1" customWidth="1"/>
    <col min="14863" max="14863" width="5.5" style="156" customWidth="1"/>
    <col min="14864" max="14865" width="9" style="156"/>
    <col min="14866" max="14867" width="11.125" style="156" customWidth="1"/>
    <col min="14868" max="14868" width="12.5" style="156" bestFit="1" customWidth="1"/>
    <col min="14869" max="15104" width="9" style="156"/>
    <col min="15105" max="15105" width="8.125" style="156" customWidth="1"/>
    <col min="15106" max="15106" width="10" style="156" customWidth="1"/>
    <col min="15107" max="15107" width="10.25" style="156" bestFit="1" customWidth="1"/>
    <col min="15108" max="15110" width="11" style="156" customWidth="1"/>
    <col min="15111" max="15112" width="10.25" style="156" bestFit="1" customWidth="1"/>
    <col min="15113" max="15113" width="8.125" style="156" bestFit="1" customWidth="1"/>
    <col min="15114" max="15114" width="13.125" style="156" bestFit="1" customWidth="1"/>
    <col min="15115" max="15116" width="12.375" style="156" customWidth="1"/>
    <col min="15117" max="15117" width="13.125" style="156" bestFit="1" customWidth="1"/>
    <col min="15118" max="15118" width="12.625" style="156" bestFit="1" customWidth="1"/>
    <col min="15119" max="15119" width="5.5" style="156" customWidth="1"/>
    <col min="15120" max="15121" width="9" style="156"/>
    <col min="15122" max="15123" width="11.125" style="156" customWidth="1"/>
    <col min="15124" max="15124" width="12.5" style="156" bestFit="1" customWidth="1"/>
    <col min="15125" max="15360" width="9" style="156"/>
    <col min="15361" max="15361" width="8.125" style="156" customWidth="1"/>
    <col min="15362" max="15362" width="10" style="156" customWidth="1"/>
    <col min="15363" max="15363" width="10.25" style="156" bestFit="1" customWidth="1"/>
    <col min="15364" max="15366" width="11" style="156" customWidth="1"/>
    <col min="15367" max="15368" width="10.25" style="156" bestFit="1" customWidth="1"/>
    <col min="15369" max="15369" width="8.125" style="156" bestFit="1" customWidth="1"/>
    <col min="15370" max="15370" width="13.125" style="156" bestFit="1" customWidth="1"/>
    <col min="15371" max="15372" width="12.375" style="156" customWidth="1"/>
    <col min="15373" max="15373" width="13.125" style="156" bestFit="1" customWidth="1"/>
    <col min="15374" max="15374" width="12.625" style="156" bestFit="1" customWidth="1"/>
    <col min="15375" max="15375" width="5.5" style="156" customWidth="1"/>
    <col min="15376" max="15377" width="9" style="156"/>
    <col min="15378" max="15379" width="11.125" style="156" customWidth="1"/>
    <col min="15380" max="15380" width="12.5" style="156" bestFit="1" customWidth="1"/>
    <col min="15381" max="15616" width="9" style="156"/>
    <col min="15617" max="15617" width="8.125" style="156" customWidth="1"/>
    <col min="15618" max="15618" width="10" style="156" customWidth="1"/>
    <col min="15619" max="15619" width="10.25" style="156" bestFit="1" customWidth="1"/>
    <col min="15620" max="15622" width="11" style="156" customWidth="1"/>
    <col min="15623" max="15624" width="10.25" style="156" bestFit="1" customWidth="1"/>
    <col min="15625" max="15625" width="8.125" style="156" bestFit="1" customWidth="1"/>
    <col min="15626" max="15626" width="13.125" style="156" bestFit="1" customWidth="1"/>
    <col min="15627" max="15628" width="12.375" style="156" customWidth="1"/>
    <col min="15629" max="15629" width="13.125" style="156" bestFit="1" customWidth="1"/>
    <col min="15630" max="15630" width="12.625" style="156" bestFit="1" customWidth="1"/>
    <col min="15631" max="15631" width="5.5" style="156" customWidth="1"/>
    <col min="15632" max="15633" width="9" style="156"/>
    <col min="15634" max="15635" width="11.125" style="156" customWidth="1"/>
    <col min="15636" max="15636" width="12.5" style="156" bestFit="1" customWidth="1"/>
    <col min="15637" max="15872" width="9" style="156"/>
    <col min="15873" max="15873" width="8.125" style="156" customWidth="1"/>
    <col min="15874" max="15874" width="10" style="156" customWidth="1"/>
    <col min="15875" max="15875" width="10.25" style="156" bestFit="1" customWidth="1"/>
    <col min="15876" max="15878" width="11" style="156" customWidth="1"/>
    <col min="15879" max="15880" width="10.25" style="156" bestFit="1" customWidth="1"/>
    <col min="15881" max="15881" width="8.125" style="156" bestFit="1" customWidth="1"/>
    <col min="15882" max="15882" width="13.125" style="156" bestFit="1" customWidth="1"/>
    <col min="15883" max="15884" width="12.375" style="156" customWidth="1"/>
    <col min="15885" max="15885" width="13.125" style="156" bestFit="1" customWidth="1"/>
    <col min="15886" max="15886" width="12.625" style="156" bestFit="1" customWidth="1"/>
    <col min="15887" max="15887" width="5.5" style="156" customWidth="1"/>
    <col min="15888" max="15889" width="9" style="156"/>
    <col min="15890" max="15891" width="11.125" style="156" customWidth="1"/>
    <col min="15892" max="15892" width="12.5" style="156" bestFit="1" customWidth="1"/>
    <col min="15893" max="16128" width="9" style="156"/>
    <col min="16129" max="16129" width="8.125" style="156" customWidth="1"/>
    <col min="16130" max="16130" width="10" style="156" customWidth="1"/>
    <col min="16131" max="16131" width="10.25" style="156" bestFit="1" customWidth="1"/>
    <col min="16132" max="16134" width="11" style="156" customWidth="1"/>
    <col min="16135" max="16136" width="10.25" style="156" bestFit="1" customWidth="1"/>
    <col min="16137" max="16137" width="8.125" style="156" bestFit="1" customWidth="1"/>
    <col min="16138" max="16138" width="13.125" style="156" bestFit="1" customWidth="1"/>
    <col min="16139" max="16140" width="12.375" style="156" customWidth="1"/>
    <col min="16141" max="16141" width="13.125" style="156" bestFit="1" customWidth="1"/>
    <col min="16142" max="16142" width="12.625" style="156" bestFit="1" customWidth="1"/>
    <col min="16143" max="16143" width="5.5" style="156" customWidth="1"/>
    <col min="16144" max="16145" width="9" style="156"/>
    <col min="16146" max="16147" width="11.125" style="156" customWidth="1"/>
    <col min="16148" max="16148" width="12.5" style="156" bestFit="1" customWidth="1"/>
    <col min="16149" max="16384" width="9" style="156"/>
  </cols>
  <sheetData>
    <row r="1" spans="1:20" ht="36" customHeight="1">
      <c r="A1" s="1171" t="s">
        <v>615</v>
      </c>
      <c r="B1" s="1171"/>
      <c r="C1" s="1171"/>
      <c r="D1" s="1171"/>
      <c r="E1" s="1171"/>
      <c r="F1" s="1171"/>
      <c r="O1" s="395"/>
      <c r="P1" s="395"/>
      <c r="Q1" s="395"/>
      <c r="R1" s="395"/>
    </row>
    <row r="2" spans="1:20" ht="10.5" customHeight="1">
      <c r="A2" s="159"/>
      <c r="E2" s="383" t="s">
        <v>185</v>
      </c>
      <c r="F2" s="384" t="str">
        <f>'3-1 참여기술인(등급)'!F21</f>
        <v>고급이상</v>
      </c>
      <c r="M2" s="156"/>
      <c r="N2" s="395"/>
      <c r="O2" s="395"/>
      <c r="P2" s="395"/>
      <c r="Q2" s="395"/>
      <c r="R2" s="395"/>
    </row>
    <row r="3" spans="1:20" ht="15" customHeight="1">
      <c r="A3" s="393" t="s">
        <v>526</v>
      </c>
      <c r="B3" s="158"/>
      <c r="C3" s="158"/>
      <c r="D3" s="158"/>
      <c r="E3" s="385" t="s">
        <v>245</v>
      </c>
      <c r="F3" s="384" t="str">
        <f>'3-1 참여기술인(등급)'!G21</f>
        <v>특급</v>
      </c>
      <c r="G3" s="158"/>
      <c r="H3" s="1186" t="s">
        <v>34</v>
      </c>
      <c r="I3" s="1186"/>
      <c r="J3" s="1187">
        <f>'3-2 책임기술인'!J3</f>
        <v>45972</v>
      </c>
      <c r="K3" s="1188"/>
      <c r="L3" s="386" t="s">
        <v>246</v>
      </c>
      <c r="M3" s="391">
        <f>J3-1</f>
        <v>45971</v>
      </c>
      <c r="N3" s="395"/>
      <c r="O3" s="395"/>
      <c r="P3" s="395"/>
      <c r="Q3" s="395"/>
      <c r="R3" s="395"/>
    </row>
    <row r="4" spans="1:20" ht="14.1" customHeight="1">
      <c r="A4" s="377" t="s">
        <v>247</v>
      </c>
      <c r="B4" s="1182" t="s">
        <v>248</v>
      </c>
      <c r="C4" s="1112"/>
      <c r="D4" s="304" t="s">
        <v>249</v>
      </c>
      <c r="E4" s="304" t="s">
        <v>250</v>
      </c>
      <c r="F4" s="304" t="s">
        <v>251</v>
      </c>
      <c r="G4" s="304" t="s">
        <v>252</v>
      </c>
      <c r="H4" s="304" t="s">
        <v>253</v>
      </c>
      <c r="I4" s="304" t="s">
        <v>254</v>
      </c>
      <c r="J4" s="304" t="s">
        <v>255</v>
      </c>
      <c r="K4" s="304" t="s">
        <v>256</v>
      </c>
      <c r="L4" s="304" t="s">
        <v>257</v>
      </c>
      <c r="M4" s="304" t="s">
        <v>258</v>
      </c>
      <c r="N4" s="337"/>
      <c r="P4" s="305"/>
      <c r="Q4" s="305"/>
    </row>
    <row r="5" spans="1:20" ht="47.25" customHeight="1">
      <c r="A5" s="1105" t="str">
        <f>'3-1 참여기술인(등급)'!D21</f>
        <v>김가나다</v>
      </c>
      <c r="B5" s="1105" t="s">
        <v>243</v>
      </c>
      <c r="C5" s="1105" t="s">
        <v>529</v>
      </c>
      <c r="D5" s="624"/>
      <c r="E5" s="624"/>
      <c r="F5" s="624"/>
      <c r="G5" s="306"/>
      <c r="H5" s="306"/>
      <c r="I5" s="378">
        <v>1</v>
      </c>
      <c r="J5" s="307"/>
      <c r="K5" s="307"/>
      <c r="L5" s="308">
        <f t="shared" ref="L5:L6" si="0">IF(K5&gt;=$M$3,$M$3,K5)</f>
        <v>0</v>
      </c>
      <c r="M5" s="216" t="str">
        <f>IF(J5="","",(L5-J5+1)*I5)</f>
        <v/>
      </c>
      <c r="N5" s="388"/>
      <c r="P5" s="305"/>
      <c r="Q5" s="305"/>
    </row>
    <row r="6" spans="1:20" ht="47.25" customHeight="1">
      <c r="A6" s="1105"/>
      <c r="B6" s="1105"/>
      <c r="C6" s="1095"/>
      <c r="D6" s="624"/>
      <c r="E6" s="624"/>
      <c r="F6" s="624"/>
      <c r="G6" s="306"/>
      <c r="H6" s="306"/>
      <c r="I6" s="378">
        <v>1</v>
      </c>
      <c r="J6" s="307"/>
      <c r="K6" s="307"/>
      <c r="L6" s="308">
        <f t="shared" si="0"/>
        <v>0</v>
      </c>
      <c r="M6" s="216" t="str">
        <f t="shared" ref="M6" si="1">IF(J6="","",(L6-J6+1)*I6)</f>
        <v/>
      </c>
      <c r="N6" s="388"/>
    </row>
    <row r="7" spans="1:20" s="285" customFormat="1" ht="12.95" customHeight="1">
      <c r="A7" s="1105"/>
      <c r="B7" s="1183" t="s">
        <v>244</v>
      </c>
      <c r="C7" s="1184"/>
      <c r="D7" s="1184"/>
      <c r="E7" s="1184"/>
      <c r="F7" s="1184"/>
      <c r="G7" s="1184"/>
      <c r="H7" s="1184"/>
      <c r="I7" s="1184"/>
      <c r="J7" s="1184"/>
      <c r="K7" s="1184"/>
      <c r="L7" s="1185"/>
      <c r="M7" s="379">
        <f>SUM(M5:M6)</f>
        <v>0</v>
      </c>
      <c r="N7" s="618">
        <f>M7/30</f>
        <v>0</v>
      </c>
      <c r="O7" s="156"/>
      <c r="P7" s="280"/>
      <c r="Q7" s="280"/>
      <c r="R7" s="280"/>
      <c r="S7" s="280"/>
      <c r="T7" s="280"/>
    </row>
    <row r="8" spans="1:20" s="285" customFormat="1" ht="15" customHeight="1">
      <c r="A8" s="348"/>
      <c r="B8" s="329"/>
      <c r="C8" s="329"/>
      <c r="D8" s="329"/>
      <c r="E8" s="329"/>
      <c r="F8" s="213"/>
      <c r="G8" s="213"/>
      <c r="H8" s="213"/>
      <c r="I8" s="213"/>
      <c r="J8" s="213"/>
      <c r="K8" s="213"/>
      <c r="L8" s="389"/>
      <c r="M8" s="390"/>
      <c r="O8" s="156"/>
      <c r="P8" s="280"/>
      <c r="Q8" s="280"/>
      <c r="R8" s="280"/>
      <c r="S8" s="280"/>
      <c r="T8" s="280"/>
    </row>
    <row r="9" spans="1:20" s="285" customFormat="1" ht="15" customHeight="1">
      <c r="A9" s="156"/>
      <c r="B9" s="156"/>
      <c r="C9" s="156"/>
      <c r="D9" s="156"/>
      <c r="E9" s="383" t="s">
        <v>259</v>
      </c>
      <c r="F9" s="384">
        <f>'3-1 참여기술인(등급)'!F22</f>
        <v>0</v>
      </c>
      <c r="G9" s="156"/>
      <c r="H9" s="156"/>
      <c r="I9" s="156"/>
      <c r="J9" s="156"/>
      <c r="K9" s="156"/>
      <c r="L9" s="156"/>
      <c r="M9" s="281"/>
      <c r="O9" s="156"/>
      <c r="P9" s="280"/>
      <c r="Q9" s="280"/>
      <c r="R9" s="280"/>
      <c r="S9" s="280"/>
      <c r="T9" s="280"/>
    </row>
    <row r="10" spans="1:20" s="285" customFormat="1" ht="15" customHeight="1">
      <c r="A10" s="159" t="s">
        <v>260</v>
      </c>
      <c r="B10" s="156"/>
      <c r="C10" s="156"/>
      <c r="D10" s="156"/>
      <c r="E10" s="385" t="s">
        <v>186</v>
      </c>
      <c r="F10" s="384">
        <f>'3-1 참여기술인(등급)'!G22</f>
        <v>0</v>
      </c>
      <c r="G10" s="156"/>
      <c r="H10" s="156"/>
      <c r="I10" s="156"/>
      <c r="J10" s="156"/>
      <c r="K10" s="156"/>
      <c r="L10" s="156"/>
      <c r="M10" s="281"/>
      <c r="O10" s="156"/>
      <c r="P10" s="280"/>
      <c r="Q10" s="280"/>
      <c r="R10" s="280"/>
      <c r="S10" s="280"/>
      <c r="T10" s="280"/>
    </row>
    <row r="11" spans="1:20">
      <c r="A11" s="377" t="s">
        <v>233</v>
      </c>
      <c r="B11" s="1182" t="s">
        <v>234</v>
      </c>
      <c r="C11" s="1112"/>
      <c r="D11" s="304" t="s">
        <v>235</v>
      </c>
      <c r="E11" s="304" t="s">
        <v>236</v>
      </c>
      <c r="F11" s="304" t="s">
        <v>237</v>
      </c>
      <c r="G11" s="304" t="s">
        <v>261</v>
      </c>
      <c r="H11" s="304" t="s">
        <v>262</v>
      </c>
      <c r="I11" s="304" t="s">
        <v>238</v>
      </c>
      <c r="J11" s="304" t="s">
        <v>239</v>
      </c>
      <c r="K11" s="304" t="s">
        <v>240</v>
      </c>
      <c r="L11" s="304" t="s">
        <v>241</v>
      </c>
      <c r="M11" s="304" t="s">
        <v>242</v>
      </c>
    </row>
    <row r="12" spans="1:20">
      <c r="A12" s="1105">
        <f>'3-1 참여기술인(등급)'!D22</f>
        <v>0</v>
      </c>
      <c r="B12" s="1105" t="s">
        <v>263</v>
      </c>
      <c r="C12" s="1105" t="s">
        <v>411</v>
      </c>
      <c r="D12" s="344"/>
      <c r="E12" s="344"/>
      <c r="F12" s="344"/>
      <c r="G12" s="306"/>
      <c r="H12" s="306"/>
      <c r="I12" s="378">
        <v>1</v>
      </c>
      <c r="J12" s="307"/>
      <c r="K12" s="307"/>
      <c r="L12" s="308">
        <f t="shared" ref="L12:L24" si="2">IF(K12&gt;=$M$3,$M$3,K12)</f>
        <v>0</v>
      </c>
      <c r="M12" s="216" t="str">
        <f>IF(J12="","",(L12-J12+1)*I12)</f>
        <v/>
      </c>
      <c r="N12" s="388"/>
    </row>
    <row r="13" spans="1:20">
      <c r="A13" s="1105"/>
      <c r="B13" s="1105"/>
      <c r="C13" s="1105"/>
      <c r="D13" s="344"/>
      <c r="E13" s="344"/>
      <c r="F13" s="344"/>
      <c r="G13" s="306"/>
      <c r="H13" s="306"/>
      <c r="I13" s="378">
        <v>1</v>
      </c>
      <c r="J13" s="307"/>
      <c r="K13" s="307"/>
      <c r="L13" s="308">
        <f t="shared" ref="L13:L15" si="3">IF(K13&gt;=$M$3,$M$3,K13)</f>
        <v>0</v>
      </c>
      <c r="M13" s="216" t="str">
        <f t="shared" ref="M13:M24" si="4">IF(J13="","",(L13-J13+1)*I13)</f>
        <v/>
      </c>
      <c r="N13" s="388"/>
    </row>
    <row r="14" spans="1:20">
      <c r="A14" s="1105"/>
      <c r="B14" s="1105"/>
      <c r="C14" s="1105"/>
      <c r="D14" s="344"/>
      <c r="E14" s="344"/>
      <c r="F14" s="344"/>
      <c r="G14" s="306"/>
      <c r="H14" s="344"/>
      <c r="I14" s="378">
        <v>1</v>
      </c>
      <c r="J14" s="307"/>
      <c r="K14" s="307"/>
      <c r="L14" s="308">
        <f t="shared" si="3"/>
        <v>0</v>
      </c>
      <c r="M14" s="216" t="str">
        <f t="shared" si="4"/>
        <v/>
      </c>
      <c r="N14" s="388"/>
    </row>
    <row r="15" spans="1:20">
      <c r="A15" s="1105"/>
      <c r="B15" s="1105"/>
      <c r="C15" s="1105"/>
      <c r="D15" s="344"/>
      <c r="E15" s="344"/>
      <c r="F15" s="344"/>
      <c r="G15" s="306"/>
      <c r="H15" s="344"/>
      <c r="I15" s="378">
        <v>1</v>
      </c>
      <c r="J15" s="307"/>
      <c r="K15" s="307"/>
      <c r="L15" s="308">
        <f t="shared" si="3"/>
        <v>0</v>
      </c>
      <c r="M15" s="216" t="str">
        <f t="shared" si="4"/>
        <v/>
      </c>
      <c r="N15" s="388"/>
    </row>
    <row r="16" spans="1:20">
      <c r="A16" s="1105"/>
      <c r="B16" s="1105"/>
      <c r="C16" s="1105"/>
      <c r="D16" s="344"/>
      <c r="E16" s="344"/>
      <c r="F16" s="344"/>
      <c r="G16" s="306"/>
      <c r="H16" s="344"/>
      <c r="I16" s="378">
        <v>1</v>
      </c>
      <c r="J16" s="307"/>
      <c r="K16" s="307"/>
      <c r="L16" s="308">
        <f t="shared" si="2"/>
        <v>0</v>
      </c>
      <c r="M16" s="216" t="str">
        <f t="shared" si="4"/>
        <v/>
      </c>
      <c r="N16" s="388"/>
    </row>
    <row r="17" spans="1:14">
      <c r="A17" s="1105"/>
      <c r="B17" s="1105"/>
      <c r="C17" s="1105"/>
      <c r="D17" s="344"/>
      <c r="E17" s="344"/>
      <c r="F17" s="344"/>
      <c r="G17" s="306"/>
      <c r="H17" s="344"/>
      <c r="I17" s="378">
        <v>1</v>
      </c>
      <c r="J17" s="307"/>
      <c r="K17" s="307"/>
      <c r="L17" s="308">
        <f t="shared" si="2"/>
        <v>0</v>
      </c>
      <c r="M17" s="216" t="str">
        <f t="shared" si="4"/>
        <v/>
      </c>
      <c r="N17" s="388"/>
    </row>
    <row r="18" spans="1:14">
      <c r="A18" s="1105"/>
      <c r="B18" s="1105"/>
      <c r="C18" s="1105"/>
      <c r="D18" s="344"/>
      <c r="E18" s="344"/>
      <c r="F18" s="344"/>
      <c r="G18" s="306"/>
      <c r="H18" s="344"/>
      <c r="I18" s="378">
        <v>1</v>
      </c>
      <c r="J18" s="307"/>
      <c r="K18" s="307"/>
      <c r="L18" s="308">
        <f t="shared" si="2"/>
        <v>0</v>
      </c>
      <c r="M18" s="216" t="str">
        <f t="shared" si="4"/>
        <v/>
      </c>
      <c r="N18" s="388"/>
    </row>
    <row r="19" spans="1:14">
      <c r="A19" s="1105"/>
      <c r="B19" s="1105"/>
      <c r="C19" s="1105"/>
      <c r="D19" s="344"/>
      <c r="E19" s="344"/>
      <c r="F19" s="344"/>
      <c r="G19" s="306"/>
      <c r="H19" s="344"/>
      <c r="I19" s="378">
        <v>1</v>
      </c>
      <c r="J19" s="307"/>
      <c r="K19" s="307"/>
      <c r="L19" s="308">
        <f t="shared" ref="L19:L21" si="5">IF(K19&gt;=$M$3,$M$3,K19)</f>
        <v>0</v>
      </c>
      <c r="M19" s="216" t="str">
        <f t="shared" si="4"/>
        <v/>
      </c>
      <c r="N19" s="388"/>
    </row>
    <row r="20" spans="1:14">
      <c r="A20" s="1105"/>
      <c r="B20" s="1105"/>
      <c r="C20" s="1105"/>
      <c r="D20" s="344"/>
      <c r="E20" s="344"/>
      <c r="F20" s="344"/>
      <c r="G20" s="306"/>
      <c r="H20" s="344"/>
      <c r="I20" s="378">
        <v>1</v>
      </c>
      <c r="J20" s="307"/>
      <c r="K20" s="307"/>
      <c r="L20" s="308">
        <f t="shared" si="5"/>
        <v>0</v>
      </c>
      <c r="M20" s="216" t="str">
        <f t="shared" si="4"/>
        <v/>
      </c>
      <c r="N20" s="388"/>
    </row>
    <row r="21" spans="1:14">
      <c r="A21" s="1105"/>
      <c r="B21" s="1105"/>
      <c r="C21" s="1105"/>
      <c r="D21" s="344"/>
      <c r="E21" s="344"/>
      <c r="F21" s="344"/>
      <c r="G21" s="306"/>
      <c r="H21" s="344"/>
      <c r="I21" s="378">
        <v>1</v>
      </c>
      <c r="J21" s="307"/>
      <c r="K21" s="307"/>
      <c r="L21" s="308">
        <f t="shared" si="5"/>
        <v>0</v>
      </c>
      <c r="M21" s="216" t="str">
        <f t="shared" si="4"/>
        <v/>
      </c>
      <c r="N21" s="388"/>
    </row>
    <row r="22" spans="1:14">
      <c r="A22" s="1105"/>
      <c r="B22" s="1105"/>
      <c r="C22" s="1095"/>
      <c r="D22" s="344"/>
      <c r="E22" s="344"/>
      <c r="F22" s="344"/>
      <c r="G22" s="306"/>
      <c r="H22" s="344"/>
      <c r="I22" s="378">
        <v>1</v>
      </c>
      <c r="J22" s="307"/>
      <c r="K22" s="307"/>
      <c r="L22" s="308">
        <f t="shared" si="2"/>
        <v>0</v>
      </c>
      <c r="M22" s="216" t="str">
        <f t="shared" si="4"/>
        <v/>
      </c>
      <c r="N22" s="388"/>
    </row>
    <row r="23" spans="1:14">
      <c r="A23" s="1105"/>
      <c r="B23" s="1105"/>
      <c r="C23" s="1095"/>
      <c r="D23" s="344"/>
      <c r="E23" s="344"/>
      <c r="F23" s="344"/>
      <c r="G23" s="306"/>
      <c r="H23" s="344"/>
      <c r="I23" s="378">
        <v>1</v>
      </c>
      <c r="J23" s="307"/>
      <c r="K23" s="307"/>
      <c r="L23" s="308">
        <f t="shared" si="2"/>
        <v>0</v>
      </c>
      <c r="M23" s="216" t="str">
        <f t="shared" si="4"/>
        <v/>
      </c>
      <c r="N23" s="388"/>
    </row>
    <row r="24" spans="1:14">
      <c r="A24" s="1105"/>
      <c r="B24" s="1105"/>
      <c r="C24" s="1095"/>
      <c r="D24" s="344"/>
      <c r="E24" s="344"/>
      <c r="F24" s="344"/>
      <c r="G24" s="306"/>
      <c r="H24" s="344"/>
      <c r="I24" s="378">
        <v>1</v>
      </c>
      <c r="J24" s="307"/>
      <c r="K24" s="307"/>
      <c r="L24" s="308">
        <f t="shared" si="2"/>
        <v>0</v>
      </c>
      <c r="M24" s="216" t="str">
        <f t="shared" si="4"/>
        <v/>
      </c>
      <c r="N24" s="388"/>
    </row>
    <row r="25" spans="1:14">
      <c r="A25" s="1105"/>
      <c r="B25" s="1183" t="s">
        <v>244</v>
      </c>
      <c r="C25" s="1184"/>
      <c r="D25" s="1184"/>
      <c r="E25" s="1184"/>
      <c r="F25" s="1184"/>
      <c r="G25" s="1184"/>
      <c r="H25" s="1184"/>
      <c r="I25" s="1184"/>
      <c r="J25" s="1184"/>
      <c r="K25" s="1184"/>
      <c r="L25" s="1185"/>
      <c r="M25" s="379">
        <f>SUM(M12:M24)</f>
        <v>0</v>
      </c>
    </row>
    <row r="26" spans="1:14">
      <c r="A26" s="348"/>
      <c r="B26" s="348"/>
      <c r="C26" s="348"/>
      <c r="D26" s="348"/>
      <c r="E26" s="396"/>
      <c r="F26" s="396"/>
      <c r="G26" s="348"/>
      <c r="H26" s="348"/>
      <c r="I26" s="348"/>
      <c r="J26" s="348"/>
      <c r="K26" s="348"/>
      <c r="L26" s="348"/>
      <c r="M26" s="213"/>
    </row>
    <row r="27" spans="1:14">
      <c r="E27" s="383" t="s">
        <v>259</v>
      </c>
      <c r="F27" s="384">
        <f>'3-1 참여기술인(등급)'!F23</f>
        <v>0</v>
      </c>
    </row>
    <row r="28" spans="1:14" ht="17.25">
      <c r="A28" s="159" t="s">
        <v>264</v>
      </c>
      <c r="E28" s="385" t="s">
        <v>186</v>
      </c>
      <c r="F28" s="384">
        <f>'3-1 참여기술인(등급)'!G23</f>
        <v>0</v>
      </c>
    </row>
    <row r="29" spans="1:14">
      <c r="A29" s="377" t="s">
        <v>233</v>
      </c>
      <c r="B29" s="1182" t="s">
        <v>234</v>
      </c>
      <c r="C29" s="1112"/>
      <c r="D29" s="304" t="s">
        <v>235</v>
      </c>
      <c r="E29" s="304" t="s">
        <v>236</v>
      </c>
      <c r="F29" s="304" t="s">
        <v>237</v>
      </c>
      <c r="G29" s="304" t="s">
        <v>261</v>
      </c>
      <c r="H29" s="304" t="s">
        <v>262</v>
      </c>
      <c r="I29" s="304" t="s">
        <v>238</v>
      </c>
      <c r="J29" s="304" t="s">
        <v>239</v>
      </c>
      <c r="K29" s="304" t="s">
        <v>240</v>
      </c>
      <c r="L29" s="304" t="s">
        <v>241</v>
      </c>
      <c r="M29" s="304" t="s">
        <v>242</v>
      </c>
    </row>
    <row r="30" spans="1:14">
      <c r="A30" s="1091">
        <f>'3-1 참여기술인(등급)'!D23</f>
        <v>0</v>
      </c>
      <c r="B30" s="1105" t="s">
        <v>263</v>
      </c>
      <c r="C30" s="1105" t="s">
        <v>412</v>
      </c>
      <c r="D30" s="344"/>
      <c r="E30" s="344"/>
      <c r="F30" s="344"/>
      <c r="G30" s="306"/>
      <c r="H30" s="306"/>
      <c r="I30" s="378">
        <v>1</v>
      </c>
      <c r="J30" s="307"/>
      <c r="K30" s="307"/>
      <c r="L30" s="308">
        <f t="shared" ref="L30:L38" si="6">IF(K30&gt;=$M$3,$M$3,K30)</f>
        <v>0</v>
      </c>
      <c r="M30" s="216" t="str">
        <f>IF(J30="","",(L30-J30+1)*I30)</f>
        <v/>
      </c>
      <c r="N30" s="388"/>
    </row>
    <row r="31" spans="1:14">
      <c r="A31" s="1092"/>
      <c r="B31" s="1105"/>
      <c r="C31" s="1095"/>
      <c r="D31" s="344"/>
      <c r="E31" s="344"/>
      <c r="F31" s="344"/>
      <c r="G31" s="306"/>
      <c r="H31" s="306"/>
      <c r="I31" s="378">
        <v>1</v>
      </c>
      <c r="J31" s="307"/>
      <c r="K31" s="307"/>
      <c r="L31" s="308">
        <f t="shared" si="6"/>
        <v>0</v>
      </c>
      <c r="M31" s="216" t="str">
        <f t="shared" ref="M31:M38" si="7">IF(J31="","",(L31-J31+1)*I31)</f>
        <v/>
      </c>
      <c r="N31" s="388"/>
    </row>
    <row r="32" spans="1:14">
      <c r="A32" s="1092"/>
      <c r="B32" s="1105"/>
      <c r="C32" s="1095"/>
      <c r="D32" s="344"/>
      <c r="E32" s="344"/>
      <c r="F32" s="344"/>
      <c r="G32" s="306"/>
      <c r="H32" s="306"/>
      <c r="I32" s="378">
        <v>1</v>
      </c>
      <c r="J32" s="307"/>
      <c r="K32" s="307"/>
      <c r="L32" s="308">
        <f t="shared" si="6"/>
        <v>0</v>
      </c>
      <c r="M32" s="216" t="str">
        <f t="shared" si="7"/>
        <v/>
      </c>
      <c r="N32" s="388"/>
    </row>
    <row r="33" spans="1:14">
      <c r="A33" s="1092"/>
      <c r="B33" s="1105"/>
      <c r="C33" s="1095"/>
      <c r="D33" s="344"/>
      <c r="E33" s="344"/>
      <c r="F33" s="344"/>
      <c r="G33" s="306"/>
      <c r="H33" s="306"/>
      <c r="I33" s="378">
        <v>1</v>
      </c>
      <c r="J33" s="307"/>
      <c r="K33" s="307"/>
      <c r="L33" s="308">
        <f t="shared" si="6"/>
        <v>0</v>
      </c>
      <c r="M33" s="216" t="str">
        <f t="shared" si="7"/>
        <v/>
      </c>
      <c r="N33" s="388"/>
    </row>
    <row r="34" spans="1:14">
      <c r="A34" s="1092"/>
      <c r="B34" s="1105"/>
      <c r="C34" s="1095"/>
      <c r="D34" s="344"/>
      <c r="E34" s="344"/>
      <c r="F34" s="344"/>
      <c r="G34" s="306"/>
      <c r="H34" s="306"/>
      <c r="I34" s="378">
        <v>1</v>
      </c>
      <c r="J34" s="307"/>
      <c r="K34" s="307"/>
      <c r="L34" s="308">
        <f t="shared" si="6"/>
        <v>0</v>
      </c>
      <c r="M34" s="216" t="str">
        <f t="shared" si="7"/>
        <v/>
      </c>
      <c r="N34" s="388"/>
    </row>
    <row r="35" spans="1:14">
      <c r="A35" s="1092"/>
      <c r="B35" s="1105"/>
      <c r="C35" s="1095"/>
      <c r="D35" s="344"/>
      <c r="E35" s="344"/>
      <c r="F35" s="344"/>
      <c r="G35" s="306"/>
      <c r="H35" s="306"/>
      <c r="I35" s="378">
        <v>1</v>
      </c>
      <c r="J35" s="307"/>
      <c r="K35" s="307"/>
      <c r="L35" s="308">
        <f t="shared" si="6"/>
        <v>0</v>
      </c>
      <c r="M35" s="216" t="str">
        <f t="shared" si="7"/>
        <v/>
      </c>
      <c r="N35" s="388"/>
    </row>
    <row r="36" spans="1:14">
      <c r="A36" s="1092"/>
      <c r="B36" s="1105"/>
      <c r="C36" s="1095"/>
      <c r="D36" s="344"/>
      <c r="E36" s="344"/>
      <c r="F36" s="344"/>
      <c r="G36" s="306"/>
      <c r="H36" s="306"/>
      <c r="I36" s="378">
        <v>1</v>
      </c>
      <c r="J36" s="307"/>
      <c r="K36" s="307"/>
      <c r="L36" s="308">
        <f t="shared" si="6"/>
        <v>0</v>
      </c>
      <c r="M36" s="216" t="str">
        <f t="shared" si="7"/>
        <v/>
      </c>
      <c r="N36" s="388"/>
    </row>
    <row r="37" spans="1:14">
      <c r="A37" s="1092"/>
      <c r="B37" s="1105"/>
      <c r="C37" s="1095"/>
      <c r="D37" s="344"/>
      <c r="E37" s="344"/>
      <c r="F37" s="344"/>
      <c r="G37" s="306"/>
      <c r="H37" s="306"/>
      <c r="I37" s="378">
        <v>1</v>
      </c>
      <c r="J37" s="307"/>
      <c r="K37" s="307"/>
      <c r="L37" s="308">
        <f t="shared" si="6"/>
        <v>0</v>
      </c>
      <c r="M37" s="216" t="str">
        <f t="shared" si="7"/>
        <v/>
      </c>
      <c r="N37" s="388"/>
    </row>
    <row r="38" spans="1:14">
      <c r="A38" s="1092"/>
      <c r="B38" s="1105"/>
      <c r="C38" s="1095"/>
      <c r="D38" s="344"/>
      <c r="E38" s="344"/>
      <c r="F38" s="344"/>
      <c r="G38" s="306"/>
      <c r="H38" s="306"/>
      <c r="I38" s="378">
        <v>1</v>
      </c>
      <c r="J38" s="307"/>
      <c r="K38" s="307"/>
      <c r="L38" s="308">
        <f t="shared" si="6"/>
        <v>0</v>
      </c>
      <c r="M38" s="216" t="str">
        <f t="shared" si="7"/>
        <v/>
      </c>
      <c r="N38" s="388"/>
    </row>
    <row r="39" spans="1:14">
      <c r="A39" s="1092"/>
      <c r="B39" s="1105"/>
      <c r="C39" s="1095"/>
      <c r="D39" s="1095" t="s">
        <v>102</v>
      </c>
      <c r="E39" s="1095"/>
      <c r="F39" s="1095"/>
      <c r="G39" s="1095"/>
      <c r="H39" s="1095"/>
      <c r="I39" s="1095"/>
      <c r="J39" s="1095"/>
      <c r="K39" s="1095"/>
      <c r="L39" s="1095"/>
      <c r="M39" s="392">
        <f>SUM(M30:M38)</f>
        <v>0</v>
      </c>
    </row>
    <row r="40" spans="1:14">
      <c r="A40" s="1092"/>
      <c r="B40" s="1105"/>
      <c r="C40" s="1105" t="s">
        <v>265</v>
      </c>
      <c r="D40" s="344"/>
      <c r="E40" s="344"/>
      <c r="F40" s="344"/>
      <c r="G40" s="306"/>
      <c r="H40" s="306"/>
      <c r="I40" s="397">
        <v>0.7</v>
      </c>
      <c r="J40" s="307"/>
      <c r="K40" s="307"/>
      <c r="L40" s="308">
        <f t="shared" ref="L40:L42" si="8">IF(K40&gt;=$M$3,$M$3,K40)</f>
        <v>0</v>
      </c>
      <c r="M40" s="216" t="str">
        <f>IF(J40="","",(L40-J40+1)*I40)</f>
        <v/>
      </c>
      <c r="N40" s="398"/>
    </row>
    <row r="41" spans="1:14">
      <c r="A41" s="1092"/>
      <c r="B41" s="1105"/>
      <c r="C41" s="1095"/>
      <c r="D41" s="344"/>
      <c r="E41" s="344"/>
      <c r="F41" s="344"/>
      <c r="G41" s="306"/>
      <c r="H41" s="306"/>
      <c r="I41" s="397">
        <v>0.7</v>
      </c>
      <c r="J41" s="307"/>
      <c r="K41" s="307"/>
      <c r="L41" s="308">
        <f t="shared" si="8"/>
        <v>0</v>
      </c>
      <c r="M41" s="216" t="str">
        <f t="shared" ref="M41:M42" si="9">IF(J41="","",(L41-J41+1)*I41)</f>
        <v/>
      </c>
      <c r="N41" s="398"/>
    </row>
    <row r="42" spans="1:14">
      <c r="A42" s="1092"/>
      <c r="B42" s="1105"/>
      <c r="C42" s="1095"/>
      <c r="D42" s="344"/>
      <c r="E42" s="344"/>
      <c r="F42" s="344"/>
      <c r="G42" s="306"/>
      <c r="H42" s="306"/>
      <c r="I42" s="397">
        <v>0.7</v>
      </c>
      <c r="J42" s="307"/>
      <c r="K42" s="307"/>
      <c r="L42" s="308">
        <f t="shared" si="8"/>
        <v>0</v>
      </c>
      <c r="M42" s="216" t="str">
        <f t="shared" si="9"/>
        <v/>
      </c>
      <c r="N42" s="398"/>
    </row>
    <row r="43" spans="1:14">
      <c r="A43" s="1093"/>
      <c r="B43" s="1183" t="s">
        <v>244</v>
      </c>
      <c r="C43" s="1184"/>
      <c r="D43" s="1184"/>
      <c r="E43" s="1184"/>
      <c r="F43" s="1184"/>
      <c r="G43" s="1184"/>
      <c r="H43" s="1184"/>
      <c r="I43" s="1184"/>
      <c r="J43" s="1184"/>
      <c r="K43" s="1184"/>
      <c r="L43" s="1185"/>
      <c r="M43" s="379">
        <f>SUM(M40:M42,M39)</f>
        <v>0</v>
      </c>
    </row>
    <row r="44" spans="1:14" ht="41.25" customHeight="1">
      <c r="A44" s="348"/>
      <c r="B44" s="348"/>
      <c r="C44" s="348"/>
      <c r="D44" s="348"/>
      <c r="E44" s="396"/>
      <c r="F44" s="396"/>
      <c r="G44" s="348"/>
      <c r="H44" s="348"/>
      <c r="I44" s="348"/>
      <c r="J44" s="348"/>
      <c r="K44" s="348"/>
      <c r="L44" s="348"/>
      <c r="M44" s="213"/>
    </row>
    <row r="45" spans="1:14">
      <c r="D45"/>
      <c r="E45"/>
      <c r="F45"/>
      <c r="G45"/>
      <c r="H45"/>
    </row>
    <row r="46" spans="1:14" ht="17.25">
      <c r="A46" s="159"/>
      <c r="D46"/>
      <c r="E46"/>
      <c r="F46"/>
      <c r="G46"/>
      <c r="H46"/>
    </row>
    <row r="47" spans="1:14">
      <c r="D47"/>
      <c r="E47"/>
      <c r="F47"/>
      <c r="G47"/>
      <c r="H47"/>
    </row>
    <row r="48" spans="1:14">
      <c r="D48"/>
      <c r="E48"/>
      <c r="F48"/>
      <c r="G48"/>
      <c r="H48"/>
    </row>
    <row r="49" spans="4:8">
      <c r="D49"/>
      <c r="E49"/>
      <c r="F49"/>
      <c r="G49"/>
      <c r="H49"/>
    </row>
  </sheetData>
  <mergeCells count="20">
    <mergeCell ref="B5:B6"/>
    <mergeCell ref="C5:C6"/>
    <mergeCell ref="B7:L7"/>
    <mergeCell ref="C12:C24"/>
    <mergeCell ref="A1:F1"/>
    <mergeCell ref="B11:C11"/>
    <mergeCell ref="H3:I3"/>
    <mergeCell ref="J3:K3"/>
    <mergeCell ref="B4:C4"/>
    <mergeCell ref="A5:A7"/>
    <mergeCell ref="B43:L43"/>
    <mergeCell ref="B25:L25"/>
    <mergeCell ref="B29:C29"/>
    <mergeCell ref="A30:A43"/>
    <mergeCell ref="B30:B42"/>
    <mergeCell ref="C30:C39"/>
    <mergeCell ref="D39:L39"/>
    <mergeCell ref="C40:C42"/>
    <mergeCell ref="A12:A25"/>
    <mergeCell ref="B12:B24"/>
  </mergeCells>
  <phoneticPr fontId="2" type="noConversion"/>
  <printOptions horizontalCentered="1"/>
  <pageMargins left="0.11811023622047245" right="0.11811023622047245" top="0" bottom="0" header="0.11811023622047245" footer="0.11811023622047245"/>
  <pageSetup paperSize="9" scale="69" orientation="landscape" verticalDpi="1200" r:id="rId1"/>
  <rowBreaks count="3" manualBreakCount="3">
    <brk id="7" max="12" man="1"/>
    <brk id="25" max="12" man="1"/>
    <brk id="43" max="12" man="1"/>
  </row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2:T106"/>
  <sheetViews>
    <sheetView showGridLines="0" view="pageBreakPreview" zoomScaleNormal="100" zoomScaleSheetLayoutView="100" workbookViewId="0">
      <selection activeCell="A3" sqref="A3"/>
    </sheetView>
  </sheetViews>
  <sheetFormatPr defaultRowHeight="15.95" customHeight="1"/>
  <cols>
    <col min="1" max="1" width="9.875" style="399" customWidth="1"/>
    <col min="2" max="2" width="4.5" style="399" customWidth="1"/>
    <col min="3" max="3" width="7.125" style="399" bestFit="1" customWidth="1"/>
    <col min="4" max="4" width="8.125" style="399" bestFit="1" customWidth="1"/>
    <col min="5" max="5" width="51.125" style="399" customWidth="1"/>
    <col min="6" max="6" width="13.125" style="399" bestFit="1" customWidth="1"/>
    <col min="7" max="7" width="14.375" style="399" bestFit="1" customWidth="1"/>
    <col min="8" max="8" width="16.25" style="400" bestFit="1" customWidth="1"/>
    <col min="9" max="9" width="14.125" style="400" customWidth="1"/>
    <col min="10" max="10" width="7.375" style="399" bestFit="1" customWidth="1"/>
    <col min="11" max="11" width="6.375" style="399" bestFit="1" customWidth="1"/>
    <col min="12" max="12" width="22.875" style="399" customWidth="1"/>
    <col min="13" max="13" width="19.5" style="399" customWidth="1"/>
    <col min="14" max="15" width="9" style="399" bestFit="1" customWidth="1"/>
    <col min="16" max="16" width="15.75" style="399" customWidth="1"/>
    <col min="17" max="17" width="9.125" style="399" customWidth="1"/>
    <col min="18" max="18" width="14.375" style="399" customWidth="1"/>
    <col min="19" max="19" width="9.375" style="399" customWidth="1"/>
    <col min="20" max="20" width="8.875" style="425" customWidth="1"/>
    <col min="21" max="21" width="7.125" style="399" bestFit="1" customWidth="1"/>
    <col min="22" max="22" width="9.875" style="399" customWidth="1"/>
    <col min="23" max="23" width="7.125" style="399" bestFit="1" customWidth="1"/>
    <col min="24" max="24" width="9.625" style="399" customWidth="1"/>
    <col min="25" max="25" width="8.5" style="399" bestFit="1" customWidth="1"/>
    <col min="26" max="26" width="6.75" style="399" customWidth="1"/>
    <col min="27" max="27" width="10.625" style="399" customWidth="1"/>
    <col min="28" max="28" width="4.5" style="399" customWidth="1"/>
    <col min="29" max="29" width="8.75" style="399" customWidth="1"/>
    <col min="30" max="257" width="9" style="399"/>
    <col min="258" max="258" width="9.875" style="399" customWidth="1"/>
    <col min="259" max="259" width="4.5" style="399" customWidth="1"/>
    <col min="260" max="260" width="7.125" style="399" bestFit="1" customWidth="1"/>
    <col min="261" max="261" width="8.125" style="399" bestFit="1" customWidth="1"/>
    <col min="262" max="262" width="19.375" style="399" customWidth="1"/>
    <col min="263" max="264" width="13.125" style="399" bestFit="1" customWidth="1"/>
    <col min="265" max="265" width="16.25" style="399" bestFit="1" customWidth="1"/>
    <col min="266" max="266" width="7.375" style="399" bestFit="1" customWidth="1"/>
    <col min="267" max="267" width="6.375" style="399" bestFit="1" customWidth="1"/>
    <col min="268" max="268" width="22.875" style="399" customWidth="1"/>
    <col min="269" max="269" width="19.5" style="399" customWidth="1"/>
    <col min="270" max="271" width="9" style="399" bestFit="1" customWidth="1"/>
    <col min="272" max="272" width="15.75" style="399" customWidth="1"/>
    <col min="273" max="273" width="9.125" style="399" customWidth="1"/>
    <col min="274" max="274" width="14.375" style="399" customWidth="1"/>
    <col min="275" max="275" width="9.375" style="399" customWidth="1"/>
    <col min="276" max="276" width="8.875" style="399" customWidth="1"/>
    <col min="277" max="277" width="7.125" style="399" bestFit="1" customWidth="1"/>
    <col min="278" max="278" width="9.875" style="399" customWidth="1"/>
    <col min="279" max="279" width="7.125" style="399" bestFit="1" customWidth="1"/>
    <col min="280" max="280" width="9.625" style="399" customWidth="1"/>
    <col min="281" max="281" width="8.5" style="399" bestFit="1" customWidth="1"/>
    <col min="282" max="282" width="6.75" style="399" customWidth="1"/>
    <col min="283" max="283" width="10.625" style="399" customWidth="1"/>
    <col min="284" max="284" width="4.5" style="399" customWidth="1"/>
    <col min="285" max="285" width="8.75" style="399" customWidth="1"/>
    <col min="286" max="513" width="9" style="399"/>
    <col min="514" max="514" width="9.875" style="399" customWidth="1"/>
    <col min="515" max="515" width="4.5" style="399" customWidth="1"/>
    <col min="516" max="516" width="7.125" style="399" bestFit="1" customWidth="1"/>
    <col min="517" max="517" width="8.125" style="399" bestFit="1" customWidth="1"/>
    <col min="518" max="518" width="19.375" style="399" customWidth="1"/>
    <col min="519" max="520" width="13.125" style="399" bestFit="1" customWidth="1"/>
    <col min="521" max="521" width="16.25" style="399" bestFit="1" customWidth="1"/>
    <col min="522" max="522" width="7.375" style="399" bestFit="1" customWidth="1"/>
    <col min="523" max="523" width="6.375" style="399" bestFit="1" customWidth="1"/>
    <col min="524" max="524" width="22.875" style="399" customWidth="1"/>
    <col min="525" max="525" width="19.5" style="399" customWidth="1"/>
    <col min="526" max="527" width="9" style="399" bestFit="1" customWidth="1"/>
    <col min="528" max="528" width="15.75" style="399" customWidth="1"/>
    <col min="529" max="529" width="9.125" style="399" customWidth="1"/>
    <col min="530" max="530" width="14.375" style="399" customWidth="1"/>
    <col min="531" max="531" width="9.375" style="399" customWidth="1"/>
    <col min="532" max="532" width="8.875" style="399" customWidth="1"/>
    <col min="533" max="533" width="7.125" style="399" bestFit="1" customWidth="1"/>
    <col min="534" max="534" width="9.875" style="399" customWidth="1"/>
    <col min="535" max="535" width="7.125" style="399" bestFit="1" customWidth="1"/>
    <col min="536" max="536" width="9.625" style="399" customWidth="1"/>
    <col min="537" max="537" width="8.5" style="399" bestFit="1" customWidth="1"/>
    <col min="538" max="538" width="6.75" style="399" customWidth="1"/>
    <col min="539" max="539" width="10.625" style="399" customWidth="1"/>
    <col min="540" max="540" width="4.5" style="399" customWidth="1"/>
    <col min="541" max="541" width="8.75" style="399" customWidth="1"/>
    <col min="542" max="769" width="9" style="399"/>
    <col min="770" max="770" width="9.875" style="399" customWidth="1"/>
    <col min="771" max="771" width="4.5" style="399" customWidth="1"/>
    <col min="772" max="772" width="7.125" style="399" bestFit="1" customWidth="1"/>
    <col min="773" max="773" width="8.125" style="399" bestFit="1" customWidth="1"/>
    <col min="774" max="774" width="19.375" style="399" customWidth="1"/>
    <col min="775" max="776" width="13.125" style="399" bestFit="1" customWidth="1"/>
    <col min="777" max="777" width="16.25" style="399" bestFit="1" customWidth="1"/>
    <col min="778" max="778" width="7.375" style="399" bestFit="1" customWidth="1"/>
    <col min="779" max="779" width="6.375" style="399" bestFit="1" customWidth="1"/>
    <col min="780" max="780" width="22.875" style="399" customWidth="1"/>
    <col min="781" max="781" width="19.5" style="399" customWidth="1"/>
    <col min="782" max="783" width="9" style="399" bestFit="1" customWidth="1"/>
    <col min="784" max="784" width="15.75" style="399" customWidth="1"/>
    <col min="785" max="785" width="9.125" style="399" customWidth="1"/>
    <col min="786" max="786" width="14.375" style="399" customWidth="1"/>
    <col min="787" max="787" width="9.375" style="399" customWidth="1"/>
    <col min="788" max="788" width="8.875" style="399" customWidth="1"/>
    <col min="789" max="789" width="7.125" style="399" bestFit="1" customWidth="1"/>
    <col min="790" max="790" width="9.875" style="399" customWidth="1"/>
    <col min="791" max="791" width="7.125" style="399" bestFit="1" customWidth="1"/>
    <col min="792" max="792" width="9.625" style="399" customWidth="1"/>
    <col min="793" max="793" width="8.5" style="399" bestFit="1" customWidth="1"/>
    <col min="794" max="794" width="6.75" style="399" customWidth="1"/>
    <col min="795" max="795" width="10.625" style="399" customWidth="1"/>
    <col min="796" max="796" width="4.5" style="399" customWidth="1"/>
    <col min="797" max="797" width="8.75" style="399" customWidth="1"/>
    <col min="798" max="1025" width="9" style="399"/>
    <col min="1026" max="1026" width="9.875" style="399" customWidth="1"/>
    <col min="1027" max="1027" width="4.5" style="399" customWidth="1"/>
    <col min="1028" max="1028" width="7.125" style="399" bestFit="1" customWidth="1"/>
    <col min="1029" max="1029" width="8.125" style="399" bestFit="1" customWidth="1"/>
    <col min="1030" max="1030" width="19.375" style="399" customWidth="1"/>
    <col min="1031" max="1032" width="13.125" style="399" bestFit="1" customWidth="1"/>
    <col min="1033" max="1033" width="16.25" style="399" bestFit="1" customWidth="1"/>
    <col min="1034" max="1034" width="7.375" style="399" bestFit="1" customWidth="1"/>
    <col min="1035" max="1035" width="6.375" style="399" bestFit="1" customWidth="1"/>
    <col min="1036" max="1036" width="22.875" style="399" customWidth="1"/>
    <col min="1037" max="1037" width="19.5" style="399" customWidth="1"/>
    <col min="1038" max="1039" width="9" style="399" bestFit="1" customWidth="1"/>
    <col min="1040" max="1040" width="15.75" style="399" customWidth="1"/>
    <col min="1041" max="1041" width="9.125" style="399" customWidth="1"/>
    <col min="1042" max="1042" width="14.375" style="399" customWidth="1"/>
    <col min="1043" max="1043" width="9.375" style="399" customWidth="1"/>
    <col min="1044" max="1044" width="8.875" style="399" customWidth="1"/>
    <col min="1045" max="1045" width="7.125" style="399" bestFit="1" customWidth="1"/>
    <col min="1046" max="1046" width="9.875" style="399" customWidth="1"/>
    <col min="1047" max="1047" width="7.125" style="399" bestFit="1" customWidth="1"/>
    <col min="1048" max="1048" width="9.625" style="399" customWidth="1"/>
    <col min="1049" max="1049" width="8.5" style="399" bestFit="1" customWidth="1"/>
    <col min="1050" max="1050" width="6.75" style="399" customWidth="1"/>
    <col min="1051" max="1051" width="10.625" style="399" customWidth="1"/>
    <col min="1052" max="1052" width="4.5" style="399" customWidth="1"/>
    <col min="1053" max="1053" width="8.75" style="399" customWidth="1"/>
    <col min="1054" max="1281" width="9" style="399"/>
    <col min="1282" max="1282" width="9.875" style="399" customWidth="1"/>
    <col min="1283" max="1283" width="4.5" style="399" customWidth="1"/>
    <col min="1284" max="1284" width="7.125" style="399" bestFit="1" customWidth="1"/>
    <col min="1285" max="1285" width="8.125" style="399" bestFit="1" customWidth="1"/>
    <col min="1286" max="1286" width="19.375" style="399" customWidth="1"/>
    <col min="1287" max="1288" width="13.125" style="399" bestFit="1" customWidth="1"/>
    <col min="1289" max="1289" width="16.25" style="399" bestFit="1" customWidth="1"/>
    <col min="1290" max="1290" width="7.375" style="399" bestFit="1" customWidth="1"/>
    <col min="1291" max="1291" width="6.375" style="399" bestFit="1" customWidth="1"/>
    <col min="1292" max="1292" width="22.875" style="399" customWidth="1"/>
    <col min="1293" max="1293" width="19.5" style="399" customWidth="1"/>
    <col min="1294" max="1295" width="9" style="399" bestFit="1" customWidth="1"/>
    <col min="1296" max="1296" width="15.75" style="399" customWidth="1"/>
    <col min="1297" max="1297" width="9.125" style="399" customWidth="1"/>
    <col min="1298" max="1298" width="14.375" style="399" customWidth="1"/>
    <col min="1299" max="1299" width="9.375" style="399" customWidth="1"/>
    <col min="1300" max="1300" width="8.875" style="399" customWidth="1"/>
    <col min="1301" max="1301" width="7.125" style="399" bestFit="1" customWidth="1"/>
    <col min="1302" max="1302" width="9.875" style="399" customWidth="1"/>
    <col min="1303" max="1303" width="7.125" style="399" bestFit="1" customWidth="1"/>
    <col min="1304" max="1304" width="9.625" style="399" customWidth="1"/>
    <col min="1305" max="1305" width="8.5" style="399" bestFit="1" customWidth="1"/>
    <col min="1306" max="1306" width="6.75" style="399" customWidth="1"/>
    <col min="1307" max="1307" width="10.625" style="399" customWidth="1"/>
    <col min="1308" max="1308" width="4.5" style="399" customWidth="1"/>
    <col min="1309" max="1309" width="8.75" style="399" customWidth="1"/>
    <col min="1310" max="1537" width="9" style="399"/>
    <col min="1538" max="1538" width="9.875" style="399" customWidth="1"/>
    <col min="1539" max="1539" width="4.5" style="399" customWidth="1"/>
    <col min="1540" max="1540" width="7.125" style="399" bestFit="1" customWidth="1"/>
    <col min="1541" max="1541" width="8.125" style="399" bestFit="1" customWidth="1"/>
    <col min="1542" max="1542" width="19.375" style="399" customWidth="1"/>
    <col min="1543" max="1544" width="13.125" style="399" bestFit="1" customWidth="1"/>
    <col min="1545" max="1545" width="16.25" style="399" bestFit="1" customWidth="1"/>
    <col min="1546" max="1546" width="7.375" style="399" bestFit="1" customWidth="1"/>
    <col min="1547" max="1547" width="6.375" style="399" bestFit="1" customWidth="1"/>
    <col min="1548" max="1548" width="22.875" style="399" customWidth="1"/>
    <col min="1549" max="1549" width="19.5" style="399" customWidth="1"/>
    <col min="1550" max="1551" width="9" style="399" bestFit="1" customWidth="1"/>
    <col min="1552" max="1552" width="15.75" style="399" customWidth="1"/>
    <col min="1553" max="1553" width="9.125" style="399" customWidth="1"/>
    <col min="1554" max="1554" width="14.375" style="399" customWidth="1"/>
    <col min="1555" max="1555" width="9.375" style="399" customWidth="1"/>
    <col min="1556" max="1556" width="8.875" style="399" customWidth="1"/>
    <col min="1557" max="1557" width="7.125" style="399" bestFit="1" customWidth="1"/>
    <col min="1558" max="1558" width="9.875" style="399" customWidth="1"/>
    <col min="1559" max="1559" width="7.125" style="399" bestFit="1" customWidth="1"/>
    <col min="1560" max="1560" width="9.625" style="399" customWidth="1"/>
    <col min="1561" max="1561" width="8.5" style="399" bestFit="1" customWidth="1"/>
    <col min="1562" max="1562" width="6.75" style="399" customWidth="1"/>
    <col min="1563" max="1563" width="10.625" style="399" customWidth="1"/>
    <col min="1564" max="1564" width="4.5" style="399" customWidth="1"/>
    <col min="1565" max="1565" width="8.75" style="399" customWidth="1"/>
    <col min="1566" max="1793" width="9" style="399"/>
    <col min="1794" max="1794" width="9.875" style="399" customWidth="1"/>
    <col min="1795" max="1795" width="4.5" style="399" customWidth="1"/>
    <col min="1796" max="1796" width="7.125" style="399" bestFit="1" customWidth="1"/>
    <col min="1797" max="1797" width="8.125" style="399" bestFit="1" customWidth="1"/>
    <col min="1798" max="1798" width="19.375" style="399" customWidth="1"/>
    <col min="1799" max="1800" width="13.125" style="399" bestFit="1" customWidth="1"/>
    <col min="1801" max="1801" width="16.25" style="399" bestFit="1" customWidth="1"/>
    <col min="1802" max="1802" width="7.375" style="399" bestFit="1" customWidth="1"/>
    <col min="1803" max="1803" width="6.375" style="399" bestFit="1" customWidth="1"/>
    <col min="1804" max="1804" width="22.875" style="399" customWidth="1"/>
    <col min="1805" max="1805" width="19.5" style="399" customWidth="1"/>
    <col min="1806" max="1807" width="9" style="399" bestFit="1" customWidth="1"/>
    <col min="1808" max="1808" width="15.75" style="399" customWidth="1"/>
    <col min="1809" max="1809" width="9.125" style="399" customWidth="1"/>
    <col min="1810" max="1810" width="14.375" style="399" customWidth="1"/>
    <col min="1811" max="1811" width="9.375" style="399" customWidth="1"/>
    <col min="1812" max="1812" width="8.875" style="399" customWidth="1"/>
    <col min="1813" max="1813" width="7.125" style="399" bestFit="1" customWidth="1"/>
    <col min="1814" max="1814" width="9.875" style="399" customWidth="1"/>
    <col min="1815" max="1815" width="7.125" style="399" bestFit="1" customWidth="1"/>
    <col min="1816" max="1816" width="9.625" style="399" customWidth="1"/>
    <col min="1817" max="1817" width="8.5" style="399" bestFit="1" customWidth="1"/>
    <col min="1818" max="1818" width="6.75" style="399" customWidth="1"/>
    <col min="1819" max="1819" width="10.625" style="399" customWidth="1"/>
    <col min="1820" max="1820" width="4.5" style="399" customWidth="1"/>
    <col min="1821" max="1821" width="8.75" style="399" customWidth="1"/>
    <col min="1822" max="2049" width="9" style="399"/>
    <col min="2050" max="2050" width="9.875" style="399" customWidth="1"/>
    <col min="2051" max="2051" width="4.5" style="399" customWidth="1"/>
    <col min="2052" max="2052" width="7.125" style="399" bestFit="1" customWidth="1"/>
    <col min="2053" max="2053" width="8.125" style="399" bestFit="1" customWidth="1"/>
    <col min="2054" max="2054" width="19.375" style="399" customWidth="1"/>
    <col min="2055" max="2056" width="13.125" style="399" bestFit="1" customWidth="1"/>
    <col min="2057" max="2057" width="16.25" style="399" bestFit="1" customWidth="1"/>
    <col min="2058" max="2058" width="7.375" style="399" bestFit="1" customWidth="1"/>
    <col min="2059" max="2059" width="6.375" style="399" bestFit="1" customWidth="1"/>
    <col min="2060" max="2060" width="22.875" style="399" customWidth="1"/>
    <col min="2061" max="2061" width="19.5" style="399" customWidth="1"/>
    <col min="2062" max="2063" width="9" style="399" bestFit="1" customWidth="1"/>
    <col min="2064" max="2064" width="15.75" style="399" customWidth="1"/>
    <col min="2065" max="2065" width="9.125" style="399" customWidth="1"/>
    <col min="2066" max="2066" width="14.375" style="399" customWidth="1"/>
    <col min="2067" max="2067" width="9.375" style="399" customWidth="1"/>
    <col min="2068" max="2068" width="8.875" style="399" customWidth="1"/>
    <col min="2069" max="2069" width="7.125" style="399" bestFit="1" customWidth="1"/>
    <col min="2070" max="2070" width="9.875" style="399" customWidth="1"/>
    <col min="2071" max="2071" width="7.125" style="399" bestFit="1" customWidth="1"/>
    <col min="2072" max="2072" width="9.625" style="399" customWidth="1"/>
    <col min="2073" max="2073" width="8.5" style="399" bestFit="1" customWidth="1"/>
    <col min="2074" max="2074" width="6.75" style="399" customWidth="1"/>
    <col min="2075" max="2075" width="10.625" style="399" customWidth="1"/>
    <col min="2076" max="2076" width="4.5" style="399" customWidth="1"/>
    <col min="2077" max="2077" width="8.75" style="399" customWidth="1"/>
    <col min="2078" max="2305" width="9" style="399"/>
    <col min="2306" max="2306" width="9.875" style="399" customWidth="1"/>
    <col min="2307" max="2307" width="4.5" style="399" customWidth="1"/>
    <col min="2308" max="2308" width="7.125" style="399" bestFit="1" customWidth="1"/>
    <col min="2309" max="2309" width="8.125" style="399" bestFit="1" customWidth="1"/>
    <col min="2310" max="2310" width="19.375" style="399" customWidth="1"/>
    <col min="2311" max="2312" width="13.125" style="399" bestFit="1" customWidth="1"/>
    <col min="2313" max="2313" width="16.25" style="399" bestFit="1" customWidth="1"/>
    <col min="2314" max="2314" width="7.375" style="399" bestFit="1" customWidth="1"/>
    <col min="2315" max="2315" width="6.375" style="399" bestFit="1" customWidth="1"/>
    <col min="2316" max="2316" width="22.875" style="399" customWidth="1"/>
    <col min="2317" max="2317" width="19.5" style="399" customWidth="1"/>
    <col min="2318" max="2319" width="9" style="399" bestFit="1" customWidth="1"/>
    <col min="2320" max="2320" width="15.75" style="399" customWidth="1"/>
    <col min="2321" max="2321" width="9.125" style="399" customWidth="1"/>
    <col min="2322" max="2322" width="14.375" style="399" customWidth="1"/>
    <col min="2323" max="2323" width="9.375" style="399" customWidth="1"/>
    <col min="2324" max="2324" width="8.875" style="399" customWidth="1"/>
    <col min="2325" max="2325" width="7.125" style="399" bestFit="1" customWidth="1"/>
    <col min="2326" max="2326" width="9.875" style="399" customWidth="1"/>
    <col min="2327" max="2327" width="7.125" style="399" bestFit="1" customWidth="1"/>
    <col min="2328" max="2328" width="9.625" style="399" customWidth="1"/>
    <col min="2329" max="2329" width="8.5" style="399" bestFit="1" customWidth="1"/>
    <col min="2330" max="2330" width="6.75" style="399" customWidth="1"/>
    <col min="2331" max="2331" width="10.625" style="399" customWidth="1"/>
    <col min="2332" max="2332" width="4.5" style="399" customWidth="1"/>
    <col min="2333" max="2333" width="8.75" style="399" customWidth="1"/>
    <col min="2334" max="2561" width="9" style="399"/>
    <col min="2562" max="2562" width="9.875" style="399" customWidth="1"/>
    <col min="2563" max="2563" width="4.5" style="399" customWidth="1"/>
    <col min="2564" max="2564" width="7.125" style="399" bestFit="1" customWidth="1"/>
    <col min="2565" max="2565" width="8.125" style="399" bestFit="1" customWidth="1"/>
    <col min="2566" max="2566" width="19.375" style="399" customWidth="1"/>
    <col min="2567" max="2568" width="13.125" style="399" bestFit="1" customWidth="1"/>
    <col min="2569" max="2569" width="16.25" style="399" bestFit="1" customWidth="1"/>
    <col min="2570" max="2570" width="7.375" style="399" bestFit="1" customWidth="1"/>
    <col min="2571" max="2571" width="6.375" style="399" bestFit="1" customWidth="1"/>
    <col min="2572" max="2572" width="22.875" style="399" customWidth="1"/>
    <col min="2573" max="2573" width="19.5" style="399" customWidth="1"/>
    <col min="2574" max="2575" width="9" style="399" bestFit="1" customWidth="1"/>
    <col min="2576" max="2576" width="15.75" style="399" customWidth="1"/>
    <col min="2577" max="2577" width="9.125" style="399" customWidth="1"/>
    <col min="2578" max="2578" width="14.375" style="399" customWidth="1"/>
    <col min="2579" max="2579" width="9.375" style="399" customWidth="1"/>
    <col min="2580" max="2580" width="8.875" style="399" customWidth="1"/>
    <col min="2581" max="2581" width="7.125" style="399" bestFit="1" customWidth="1"/>
    <col min="2582" max="2582" width="9.875" style="399" customWidth="1"/>
    <col min="2583" max="2583" width="7.125" style="399" bestFit="1" customWidth="1"/>
    <col min="2584" max="2584" width="9.625" style="399" customWidth="1"/>
    <col min="2585" max="2585" width="8.5" style="399" bestFit="1" customWidth="1"/>
    <col min="2586" max="2586" width="6.75" style="399" customWidth="1"/>
    <col min="2587" max="2587" width="10.625" style="399" customWidth="1"/>
    <col min="2588" max="2588" width="4.5" style="399" customWidth="1"/>
    <col min="2589" max="2589" width="8.75" style="399" customWidth="1"/>
    <col min="2590" max="2817" width="9" style="399"/>
    <col min="2818" max="2818" width="9.875" style="399" customWidth="1"/>
    <col min="2819" max="2819" width="4.5" style="399" customWidth="1"/>
    <col min="2820" max="2820" width="7.125" style="399" bestFit="1" customWidth="1"/>
    <col min="2821" max="2821" width="8.125" style="399" bestFit="1" customWidth="1"/>
    <col min="2822" max="2822" width="19.375" style="399" customWidth="1"/>
    <col min="2823" max="2824" width="13.125" style="399" bestFit="1" customWidth="1"/>
    <col min="2825" max="2825" width="16.25" style="399" bestFit="1" customWidth="1"/>
    <col min="2826" max="2826" width="7.375" style="399" bestFit="1" customWidth="1"/>
    <col min="2827" max="2827" width="6.375" style="399" bestFit="1" customWidth="1"/>
    <col min="2828" max="2828" width="22.875" style="399" customWidth="1"/>
    <col min="2829" max="2829" width="19.5" style="399" customWidth="1"/>
    <col min="2830" max="2831" width="9" style="399" bestFit="1" customWidth="1"/>
    <col min="2832" max="2832" width="15.75" style="399" customWidth="1"/>
    <col min="2833" max="2833" width="9.125" style="399" customWidth="1"/>
    <col min="2834" max="2834" width="14.375" style="399" customWidth="1"/>
    <col min="2835" max="2835" width="9.375" style="399" customWidth="1"/>
    <col min="2836" max="2836" width="8.875" style="399" customWidth="1"/>
    <col min="2837" max="2837" width="7.125" style="399" bestFit="1" customWidth="1"/>
    <col min="2838" max="2838" width="9.875" style="399" customWidth="1"/>
    <col min="2839" max="2839" width="7.125" style="399" bestFit="1" customWidth="1"/>
    <col min="2840" max="2840" width="9.625" style="399" customWidth="1"/>
    <col min="2841" max="2841" width="8.5" style="399" bestFit="1" customWidth="1"/>
    <col min="2842" max="2842" width="6.75" style="399" customWidth="1"/>
    <col min="2843" max="2843" width="10.625" style="399" customWidth="1"/>
    <col min="2844" max="2844" width="4.5" style="399" customWidth="1"/>
    <col min="2845" max="2845" width="8.75" style="399" customWidth="1"/>
    <col min="2846" max="3073" width="9" style="399"/>
    <col min="3074" max="3074" width="9.875" style="399" customWidth="1"/>
    <col min="3075" max="3075" width="4.5" style="399" customWidth="1"/>
    <col min="3076" max="3076" width="7.125" style="399" bestFit="1" customWidth="1"/>
    <col min="3077" max="3077" width="8.125" style="399" bestFit="1" customWidth="1"/>
    <col min="3078" max="3078" width="19.375" style="399" customWidth="1"/>
    <col min="3079" max="3080" width="13.125" style="399" bestFit="1" customWidth="1"/>
    <col min="3081" max="3081" width="16.25" style="399" bestFit="1" customWidth="1"/>
    <col min="3082" max="3082" width="7.375" style="399" bestFit="1" customWidth="1"/>
    <col min="3083" max="3083" width="6.375" style="399" bestFit="1" customWidth="1"/>
    <col min="3084" max="3084" width="22.875" style="399" customWidth="1"/>
    <col min="3085" max="3085" width="19.5" style="399" customWidth="1"/>
    <col min="3086" max="3087" width="9" style="399" bestFit="1" customWidth="1"/>
    <col min="3088" max="3088" width="15.75" style="399" customWidth="1"/>
    <col min="3089" max="3089" width="9.125" style="399" customWidth="1"/>
    <col min="3090" max="3090" width="14.375" style="399" customWidth="1"/>
    <col min="3091" max="3091" width="9.375" style="399" customWidth="1"/>
    <col min="3092" max="3092" width="8.875" style="399" customWidth="1"/>
    <col min="3093" max="3093" width="7.125" style="399" bestFit="1" customWidth="1"/>
    <col min="3094" max="3094" width="9.875" style="399" customWidth="1"/>
    <col min="3095" max="3095" width="7.125" style="399" bestFit="1" customWidth="1"/>
    <col min="3096" max="3096" width="9.625" style="399" customWidth="1"/>
    <col min="3097" max="3097" width="8.5" style="399" bestFit="1" customWidth="1"/>
    <col min="3098" max="3098" width="6.75" style="399" customWidth="1"/>
    <col min="3099" max="3099" width="10.625" style="399" customWidth="1"/>
    <col min="3100" max="3100" width="4.5" style="399" customWidth="1"/>
    <col min="3101" max="3101" width="8.75" style="399" customWidth="1"/>
    <col min="3102" max="3329" width="9" style="399"/>
    <col min="3330" max="3330" width="9.875" style="399" customWidth="1"/>
    <col min="3331" max="3331" width="4.5" style="399" customWidth="1"/>
    <col min="3332" max="3332" width="7.125" style="399" bestFit="1" customWidth="1"/>
    <col min="3333" max="3333" width="8.125" style="399" bestFit="1" customWidth="1"/>
    <col min="3334" max="3334" width="19.375" style="399" customWidth="1"/>
    <col min="3335" max="3336" width="13.125" style="399" bestFit="1" customWidth="1"/>
    <col min="3337" max="3337" width="16.25" style="399" bestFit="1" customWidth="1"/>
    <col min="3338" max="3338" width="7.375" style="399" bestFit="1" customWidth="1"/>
    <col min="3339" max="3339" width="6.375" style="399" bestFit="1" customWidth="1"/>
    <col min="3340" max="3340" width="22.875" style="399" customWidth="1"/>
    <col min="3341" max="3341" width="19.5" style="399" customWidth="1"/>
    <col min="3342" max="3343" width="9" style="399" bestFit="1" customWidth="1"/>
    <col min="3344" max="3344" width="15.75" style="399" customWidth="1"/>
    <col min="3345" max="3345" width="9.125" style="399" customWidth="1"/>
    <col min="3346" max="3346" width="14.375" style="399" customWidth="1"/>
    <col min="3347" max="3347" width="9.375" style="399" customWidth="1"/>
    <col min="3348" max="3348" width="8.875" style="399" customWidth="1"/>
    <col min="3349" max="3349" width="7.125" style="399" bestFit="1" customWidth="1"/>
    <col min="3350" max="3350" width="9.875" style="399" customWidth="1"/>
    <col min="3351" max="3351" width="7.125" style="399" bestFit="1" customWidth="1"/>
    <col min="3352" max="3352" width="9.625" style="399" customWidth="1"/>
    <col min="3353" max="3353" width="8.5" style="399" bestFit="1" customWidth="1"/>
    <col min="3354" max="3354" width="6.75" style="399" customWidth="1"/>
    <col min="3355" max="3355" width="10.625" style="399" customWidth="1"/>
    <col min="3356" max="3356" width="4.5" style="399" customWidth="1"/>
    <col min="3357" max="3357" width="8.75" style="399" customWidth="1"/>
    <col min="3358" max="3585" width="9" style="399"/>
    <col min="3586" max="3586" width="9.875" style="399" customWidth="1"/>
    <col min="3587" max="3587" width="4.5" style="399" customWidth="1"/>
    <col min="3588" max="3588" width="7.125" style="399" bestFit="1" customWidth="1"/>
    <col min="3589" max="3589" width="8.125" style="399" bestFit="1" customWidth="1"/>
    <col min="3590" max="3590" width="19.375" style="399" customWidth="1"/>
    <col min="3591" max="3592" width="13.125" style="399" bestFit="1" customWidth="1"/>
    <col min="3593" max="3593" width="16.25" style="399" bestFit="1" customWidth="1"/>
    <col min="3594" max="3594" width="7.375" style="399" bestFit="1" customWidth="1"/>
    <col min="3595" max="3595" width="6.375" style="399" bestFit="1" customWidth="1"/>
    <col min="3596" max="3596" width="22.875" style="399" customWidth="1"/>
    <col min="3597" max="3597" width="19.5" style="399" customWidth="1"/>
    <col min="3598" max="3599" width="9" style="399" bestFit="1" customWidth="1"/>
    <col min="3600" max="3600" width="15.75" style="399" customWidth="1"/>
    <col min="3601" max="3601" width="9.125" style="399" customWidth="1"/>
    <col min="3602" max="3602" width="14.375" style="399" customWidth="1"/>
    <col min="3603" max="3603" width="9.375" style="399" customWidth="1"/>
    <col min="3604" max="3604" width="8.875" style="399" customWidth="1"/>
    <col min="3605" max="3605" width="7.125" style="399" bestFit="1" customWidth="1"/>
    <col min="3606" max="3606" width="9.875" style="399" customWidth="1"/>
    <col min="3607" max="3607" width="7.125" style="399" bestFit="1" customWidth="1"/>
    <col min="3608" max="3608" width="9.625" style="399" customWidth="1"/>
    <col min="3609" max="3609" width="8.5" style="399" bestFit="1" customWidth="1"/>
    <col min="3610" max="3610" width="6.75" style="399" customWidth="1"/>
    <col min="3611" max="3611" width="10.625" style="399" customWidth="1"/>
    <col min="3612" max="3612" width="4.5" style="399" customWidth="1"/>
    <col min="3613" max="3613" width="8.75" style="399" customWidth="1"/>
    <col min="3614" max="3841" width="9" style="399"/>
    <col min="3842" max="3842" width="9.875" style="399" customWidth="1"/>
    <col min="3843" max="3843" width="4.5" style="399" customWidth="1"/>
    <col min="3844" max="3844" width="7.125" style="399" bestFit="1" customWidth="1"/>
    <col min="3845" max="3845" width="8.125" style="399" bestFit="1" customWidth="1"/>
    <col min="3846" max="3846" width="19.375" style="399" customWidth="1"/>
    <col min="3847" max="3848" width="13.125" style="399" bestFit="1" customWidth="1"/>
    <col min="3849" max="3849" width="16.25" style="399" bestFit="1" customWidth="1"/>
    <col min="3850" max="3850" width="7.375" style="399" bestFit="1" customWidth="1"/>
    <col min="3851" max="3851" width="6.375" style="399" bestFit="1" customWidth="1"/>
    <col min="3852" max="3852" width="22.875" style="399" customWidth="1"/>
    <col min="3853" max="3853" width="19.5" style="399" customWidth="1"/>
    <col min="3854" max="3855" width="9" style="399" bestFit="1" customWidth="1"/>
    <col min="3856" max="3856" width="15.75" style="399" customWidth="1"/>
    <col min="3857" max="3857" width="9.125" style="399" customWidth="1"/>
    <col min="3858" max="3858" width="14.375" style="399" customWidth="1"/>
    <col min="3859" max="3859" width="9.375" style="399" customWidth="1"/>
    <col min="3860" max="3860" width="8.875" style="399" customWidth="1"/>
    <col min="3861" max="3861" width="7.125" style="399" bestFit="1" customWidth="1"/>
    <col min="3862" max="3862" width="9.875" style="399" customWidth="1"/>
    <col min="3863" max="3863" width="7.125" style="399" bestFit="1" customWidth="1"/>
    <col min="3864" max="3864" width="9.625" style="399" customWidth="1"/>
    <col min="3865" max="3865" width="8.5" style="399" bestFit="1" customWidth="1"/>
    <col min="3866" max="3866" width="6.75" style="399" customWidth="1"/>
    <col min="3867" max="3867" width="10.625" style="399" customWidth="1"/>
    <col min="3868" max="3868" width="4.5" style="399" customWidth="1"/>
    <col min="3869" max="3869" width="8.75" style="399" customWidth="1"/>
    <col min="3870" max="4097" width="9" style="399"/>
    <col min="4098" max="4098" width="9.875" style="399" customWidth="1"/>
    <col min="4099" max="4099" width="4.5" style="399" customWidth="1"/>
    <col min="4100" max="4100" width="7.125" style="399" bestFit="1" customWidth="1"/>
    <col min="4101" max="4101" width="8.125" style="399" bestFit="1" customWidth="1"/>
    <col min="4102" max="4102" width="19.375" style="399" customWidth="1"/>
    <col min="4103" max="4104" width="13.125" style="399" bestFit="1" customWidth="1"/>
    <col min="4105" max="4105" width="16.25" style="399" bestFit="1" customWidth="1"/>
    <col min="4106" max="4106" width="7.375" style="399" bestFit="1" customWidth="1"/>
    <col min="4107" max="4107" width="6.375" style="399" bestFit="1" customWidth="1"/>
    <col min="4108" max="4108" width="22.875" style="399" customWidth="1"/>
    <col min="4109" max="4109" width="19.5" style="399" customWidth="1"/>
    <col min="4110" max="4111" width="9" style="399" bestFit="1" customWidth="1"/>
    <col min="4112" max="4112" width="15.75" style="399" customWidth="1"/>
    <col min="4113" max="4113" width="9.125" style="399" customWidth="1"/>
    <col min="4114" max="4114" width="14.375" style="399" customWidth="1"/>
    <col min="4115" max="4115" width="9.375" style="399" customWidth="1"/>
    <col min="4116" max="4116" width="8.875" style="399" customWidth="1"/>
    <col min="4117" max="4117" width="7.125" style="399" bestFit="1" customWidth="1"/>
    <col min="4118" max="4118" width="9.875" style="399" customWidth="1"/>
    <col min="4119" max="4119" width="7.125" style="399" bestFit="1" customWidth="1"/>
    <col min="4120" max="4120" width="9.625" style="399" customWidth="1"/>
    <col min="4121" max="4121" width="8.5" style="399" bestFit="1" customWidth="1"/>
    <col min="4122" max="4122" width="6.75" style="399" customWidth="1"/>
    <col min="4123" max="4123" width="10.625" style="399" customWidth="1"/>
    <col min="4124" max="4124" width="4.5" style="399" customWidth="1"/>
    <col min="4125" max="4125" width="8.75" style="399" customWidth="1"/>
    <col min="4126" max="4353" width="9" style="399"/>
    <col min="4354" max="4354" width="9.875" style="399" customWidth="1"/>
    <col min="4355" max="4355" width="4.5" style="399" customWidth="1"/>
    <col min="4356" max="4356" width="7.125" style="399" bestFit="1" customWidth="1"/>
    <col min="4357" max="4357" width="8.125" style="399" bestFit="1" customWidth="1"/>
    <col min="4358" max="4358" width="19.375" style="399" customWidth="1"/>
    <col min="4359" max="4360" width="13.125" style="399" bestFit="1" customWidth="1"/>
    <col min="4361" max="4361" width="16.25" style="399" bestFit="1" customWidth="1"/>
    <col min="4362" max="4362" width="7.375" style="399" bestFit="1" customWidth="1"/>
    <col min="4363" max="4363" width="6.375" style="399" bestFit="1" customWidth="1"/>
    <col min="4364" max="4364" width="22.875" style="399" customWidth="1"/>
    <col min="4365" max="4365" width="19.5" style="399" customWidth="1"/>
    <col min="4366" max="4367" width="9" style="399" bestFit="1" customWidth="1"/>
    <col min="4368" max="4368" width="15.75" style="399" customWidth="1"/>
    <col min="4369" max="4369" width="9.125" style="399" customWidth="1"/>
    <col min="4370" max="4370" width="14.375" style="399" customWidth="1"/>
    <col min="4371" max="4371" width="9.375" style="399" customWidth="1"/>
    <col min="4372" max="4372" width="8.875" style="399" customWidth="1"/>
    <col min="4373" max="4373" width="7.125" style="399" bestFit="1" customWidth="1"/>
    <col min="4374" max="4374" width="9.875" style="399" customWidth="1"/>
    <col min="4375" max="4375" width="7.125" style="399" bestFit="1" customWidth="1"/>
    <col min="4376" max="4376" width="9.625" style="399" customWidth="1"/>
    <col min="4377" max="4377" width="8.5" style="399" bestFit="1" customWidth="1"/>
    <col min="4378" max="4378" width="6.75" style="399" customWidth="1"/>
    <col min="4379" max="4379" width="10.625" style="399" customWidth="1"/>
    <col min="4380" max="4380" width="4.5" style="399" customWidth="1"/>
    <col min="4381" max="4381" width="8.75" style="399" customWidth="1"/>
    <col min="4382" max="4609" width="9" style="399"/>
    <col min="4610" max="4610" width="9.875" style="399" customWidth="1"/>
    <col min="4611" max="4611" width="4.5" style="399" customWidth="1"/>
    <col min="4612" max="4612" width="7.125" style="399" bestFit="1" customWidth="1"/>
    <col min="4613" max="4613" width="8.125" style="399" bestFit="1" customWidth="1"/>
    <col min="4614" max="4614" width="19.375" style="399" customWidth="1"/>
    <col min="4615" max="4616" width="13.125" style="399" bestFit="1" customWidth="1"/>
    <col min="4617" max="4617" width="16.25" style="399" bestFit="1" customWidth="1"/>
    <col min="4618" max="4618" width="7.375" style="399" bestFit="1" customWidth="1"/>
    <col min="4619" max="4619" width="6.375" style="399" bestFit="1" customWidth="1"/>
    <col min="4620" max="4620" width="22.875" style="399" customWidth="1"/>
    <col min="4621" max="4621" width="19.5" style="399" customWidth="1"/>
    <col min="4622" max="4623" width="9" style="399" bestFit="1" customWidth="1"/>
    <col min="4624" max="4624" width="15.75" style="399" customWidth="1"/>
    <col min="4625" max="4625" width="9.125" style="399" customWidth="1"/>
    <col min="4626" max="4626" width="14.375" style="399" customWidth="1"/>
    <col min="4627" max="4627" width="9.375" style="399" customWidth="1"/>
    <col min="4628" max="4628" width="8.875" style="399" customWidth="1"/>
    <col min="4629" max="4629" width="7.125" style="399" bestFit="1" customWidth="1"/>
    <col min="4630" max="4630" width="9.875" style="399" customWidth="1"/>
    <col min="4631" max="4631" width="7.125" style="399" bestFit="1" customWidth="1"/>
    <col min="4632" max="4632" width="9.625" style="399" customWidth="1"/>
    <col min="4633" max="4633" width="8.5" style="399" bestFit="1" customWidth="1"/>
    <col min="4634" max="4634" width="6.75" style="399" customWidth="1"/>
    <col min="4635" max="4635" width="10.625" style="399" customWidth="1"/>
    <col min="4636" max="4636" width="4.5" style="399" customWidth="1"/>
    <col min="4637" max="4637" width="8.75" style="399" customWidth="1"/>
    <col min="4638" max="4865" width="9" style="399"/>
    <col min="4866" max="4866" width="9.875" style="399" customWidth="1"/>
    <col min="4867" max="4867" width="4.5" style="399" customWidth="1"/>
    <col min="4868" max="4868" width="7.125" style="399" bestFit="1" customWidth="1"/>
    <col min="4869" max="4869" width="8.125" style="399" bestFit="1" customWidth="1"/>
    <col min="4870" max="4870" width="19.375" style="399" customWidth="1"/>
    <col min="4871" max="4872" width="13.125" style="399" bestFit="1" customWidth="1"/>
    <col min="4873" max="4873" width="16.25" style="399" bestFit="1" customWidth="1"/>
    <col min="4874" max="4874" width="7.375" style="399" bestFit="1" customWidth="1"/>
    <col min="4875" max="4875" width="6.375" style="399" bestFit="1" customWidth="1"/>
    <col min="4876" max="4876" width="22.875" style="399" customWidth="1"/>
    <col min="4877" max="4877" width="19.5" style="399" customWidth="1"/>
    <col min="4878" max="4879" width="9" style="399" bestFit="1" customWidth="1"/>
    <col min="4880" max="4880" width="15.75" style="399" customWidth="1"/>
    <col min="4881" max="4881" width="9.125" style="399" customWidth="1"/>
    <col min="4882" max="4882" width="14.375" style="399" customWidth="1"/>
    <col min="4883" max="4883" width="9.375" style="399" customWidth="1"/>
    <col min="4884" max="4884" width="8.875" style="399" customWidth="1"/>
    <col min="4885" max="4885" width="7.125" style="399" bestFit="1" customWidth="1"/>
    <col min="4886" max="4886" width="9.875" style="399" customWidth="1"/>
    <col min="4887" max="4887" width="7.125" style="399" bestFit="1" customWidth="1"/>
    <col min="4888" max="4888" width="9.625" style="399" customWidth="1"/>
    <col min="4889" max="4889" width="8.5" style="399" bestFit="1" customWidth="1"/>
    <col min="4890" max="4890" width="6.75" style="399" customWidth="1"/>
    <col min="4891" max="4891" width="10.625" style="399" customWidth="1"/>
    <col min="4892" max="4892" width="4.5" style="399" customWidth="1"/>
    <col min="4893" max="4893" width="8.75" style="399" customWidth="1"/>
    <col min="4894" max="5121" width="9" style="399"/>
    <col min="5122" max="5122" width="9.875" style="399" customWidth="1"/>
    <col min="5123" max="5123" width="4.5" style="399" customWidth="1"/>
    <col min="5124" max="5124" width="7.125" style="399" bestFit="1" customWidth="1"/>
    <col min="5125" max="5125" width="8.125" style="399" bestFit="1" customWidth="1"/>
    <col min="5126" max="5126" width="19.375" style="399" customWidth="1"/>
    <col min="5127" max="5128" width="13.125" style="399" bestFit="1" customWidth="1"/>
    <col min="5129" max="5129" width="16.25" style="399" bestFit="1" customWidth="1"/>
    <col min="5130" max="5130" width="7.375" style="399" bestFit="1" customWidth="1"/>
    <col min="5131" max="5131" width="6.375" style="399" bestFit="1" customWidth="1"/>
    <col min="5132" max="5132" width="22.875" style="399" customWidth="1"/>
    <col min="5133" max="5133" width="19.5" style="399" customWidth="1"/>
    <col min="5134" max="5135" width="9" style="399" bestFit="1" customWidth="1"/>
    <col min="5136" max="5136" width="15.75" style="399" customWidth="1"/>
    <col min="5137" max="5137" width="9.125" style="399" customWidth="1"/>
    <col min="5138" max="5138" width="14.375" style="399" customWidth="1"/>
    <col min="5139" max="5139" width="9.375" style="399" customWidth="1"/>
    <col min="5140" max="5140" width="8.875" style="399" customWidth="1"/>
    <col min="5141" max="5141" width="7.125" style="399" bestFit="1" customWidth="1"/>
    <col min="5142" max="5142" width="9.875" style="399" customWidth="1"/>
    <col min="5143" max="5143" width="7.125" style="399" bestFit="1" customWidth="1"/>
    <col min="5144" max="5144" width="9.625" style="399" customWidth="1"/>
    <col min="5145" max="5145" width="8.5" style="399" bestFit="1" customWidth="1"/>
    <col min="5146" max="5146" width="6.75" style="399" customWidth="1"/>
    <col min="5147" max="5147" width="10.625" style="399" customWidth="1"/>
    <col min="5148" max="5148" width="4.5" style="399" customWidth="1"/>
    <col min="5149" max="5149" width="8.75" style="399" customWidth="1"/>
    <col min="5150" max="5377" width="9" style="399"/>
    <col min="5378" max="5378" width="9.875" style="399" customWidth="1"/>
    <col min="5379" max="5379" width="4.5" style="399" customWidth="1"/>
    <col min="5380" max="5380" width="7.125" style="399" bestFit="1" customWidth="1"/>
    <col min="5381" max="5381" width="8.125" style="399" bestFit="1" customWidth="1"/>
    <col min="5382" max="5382" width="19.375" style="399" customWidth="1"/>
    <col min="5383" max="5384" width="13.125" style="399" bestFit="1" customWidth="1"/>
    <col min="5385" max="5385" width="16.25" style="399" bestFit="1" customWidth="1"/>
    <col min="5386" max="5386" width="7.375" style="399" bestFit="1" customWidth="1"/>
    <col min="5387" max="5387" width="6.375" style="399" bestFit="1" customWidth="1"/>
    <col min="5388" max="5388" width="22.875" style="399" customWidth="1"/>
    <col min="5389" max="5389" width="19.5" style="399" customWidth="1"/>
    <col min="5390" max="5391" width="9" style="399" bestFit="1" customWidth="1"/>
    <col min="5392" max="5392" width="15.75" style="399" customWidth="1"/>
    <col min="5393" max="5393" width="9.125" style="399" customWidth="1"/>
    <col min="5394" max="5394" width="14.375" style="399" customWidth="1"/>
    <col min="5395" max="5395" width="9.375" style="399" customWidth="1"/>
    <col min="5396" max="5396" width="8.875" style="399" customWidth="1"/>
    <col min="5397" max="5397" width="7.125" style="399" bestFit="1" customWidth="1"/>
    <col min="5398" max="5398" width="9.875" style="399" customWidth="1"/>
    <col min="5399" max="5399" width="7.125" style="399" bestFit="1" customWidth="1"/>
    <col min="5400" max="5400" width="9.625" style="399" customWidth="1"/>
    <col min="5401" max="5401" width="8.5" style="399" bestFit="1" customWidth="1"/>
    <col min="5402" max="5402" width="6.75" style="399" customWidth="1"/>
    <col min="5403" max="5403" width="10.625" style="399" customWidth="1"/>
    <col min="5404" max="5404" width="4.5" style="399" customWidth="1"/>
    <col min="5405" max="5405" width="8.75" style="399" customWidth="1"/>
    <col min="5406" max="5633" width="9" style="399"/>
    <col min="5634" max="5634" width="9.875" style="399" customWidth="1"/>
    <col min="5635" max="5635" width="4.5" style="399" customWidth="1"/>
    <col min="5636" max="5636" width="7.125" style="399" bestFit="1" customWidth="1"/>
    <col min="5637" max="5637" width="8.125" style="399" bestFit="1" customWidth="1"/>
    <col min="5638" max="5638" width="19.375" style="399" customWidth="1"/>
    <col min="5639" max="5640" width="13.125" style="399" bestFit="1" customWidth="1"/>
    <col min="5641" max="5641" width="16.25" style="399" bestFit="1" customWidth="1"/>
    <col min="5642" max="5642" width="7.375" style="399" bestFit="1" customWidth="1"/>
    <col min="5643" max="5643" width="6.375" style="399" bestFit="1" customWidth="1"/>
    <col min="5644" max="5644" width="22.875" style="399" customWidth="1"/>
    <col min="5645" max="5645" width="19.5" style="399" customWidth="1"/>
    <col min="5646" max="5647" width="9" style="399" bestFit="1" customWidth="1"/>
    <col min="5648" max="5648" width="15.75" style="399" customWidth="1"/>
    <col min="5649" max="5649" width="9.125" style="399" customWidth="1"/>
    <col min="5650" max="5650" width="14.375" style="399" customWidth="1"/>
    <col min="5651" max="5651" width="9.375" style="399" customWidth="1"/>
    <col min="5652" max="5652" width="8.875" style="399" customWidth="1"/>
    <col min="5653" max="5653" width="7.125" style="399" bestFit="1" customWidth="1"/>
    <col min="5654" max="5654" width="9.875" style="399" customWidth="1"/>
    <col min="5655" max="5655" width="7.125" style="399" bestFit="1" customWidth="1"/>
    <col min="5656" max="5656" width="9.625" style="399" customWidth="1"/>
    <col min="5657" max="5657" width="8.5" style="399" bestFit="1" customWidth="1"/>
    <col min="5658" max="5658" width="6.75" style="399" customWidth="1"/>
    <col min="5659" max="5659" width="10.625" style="399" customWidth="1"/>
    <col min="5660" max="5660" width="4.5" style="399" customWidth="1"/>
    <col min="5661" max="5661" width="8.75" style="399" customWidth="1"/>
    <col min="5662" max="5889" width="9" style="399"/>
    <col min="5890" max="5890" width="9.875" style="399" customWidth="1"/>
    <col min="5891" max="5891" width="4.5" style="399" customWidth="1"/>
    <col min="5892" max="5892" width="7.125" style="399" bestFit="1" customWidth="1"/>
    <col min="5893" max="5893" width="8.125" style="399" bestFit="1" customWidth="1"/>
    <col min="5894" max="5894" width="19.375" style="399" customWidth="1"/>
    <col min="5895" max="5896" width="13.125" style="399" bestFit="1" customWidth="1"/>
    <col min="5897" max="5897" width="16.25" style="399" bestFit="1" customWidth="1"/>
    <col min="5898" max="5898" width="7.375" style="399" bestFit="1" customWidth="1"/>
    <col min="5899" max="5899" width="6.375" style="399" bestFit="1" customWidth="1"/>
    <col min="5900" max="5900" width="22.875" style="399" customWidth="1"/>
    <col min="5901" max="5901" width="19.5" style="399" customWidth="1"/>
    <col min="5902" max="5903" width="9" style="399" bestFit="1" customWidth="1"/>
    <col min="5904" max="5904" width="15.75" style="399" customWidth="1"/>
    <col min="5905" max="5905" width="9.125" style="399" customWidth="1"/>
    <col min="5906" max="5906" width="14.375" style="399" customWidth="1"/>
    <col min="5907" max="5907" width="9.375" style="399" customWidth="1"/>
    <col min="5908" max="5908" width="8.875" style="399" customWidth="1"/>
    <col min="5909" max="5909" width="7.125" style="399" bestFit="1" customWidth="1"/>
    <col min="5910" max="5910" width="9.875" style="399" customWidth="1"/>
    <col min="5911" max="5911" width="7.125" style="399" bestFit="1" customWidth="1"/>
    <col min="5912" max="5912" width="9.625" style="399" customWidth="1"/>
    <col min="5913" max="5913" width="8.5" style="399" bestFit="1" customWidth="1"/>
    <col min="5914" max="5914" width="6.75" style="399" customWidth="1"/>
    <col min="5915" max="5915" width="10.625" style="399" customWidth="1"/>
    <col min="5916" max="5916" width="4.5" style="399" customWidth="1"/>
    <col min="5917" max="5917" width="8.75" style="399" customWidth="1"/>
    <col min="5918" max="6145" width="9" style="399"/>
    <col min="6146" max="6146" width="9.875" style="399" customWidth="1"/>
    <col min="6147" max="6147" width="4.5" style="399" customWidth="1"/>
    <col min="6148" max="6148" width="7.125" style="399" bestFit="1" customWidth="1"/>
    <col min="6149" max="6149" width="8.125" style="399" bestFit="1" customWidth="1"/>
    <col min="6150" max="6150" width="19.375" style="399" customWidth="1"/>
    <col min="6151" max="6152" width="13.125" style="399" bestFit="1" customWidth="1"/>
    <col min="6153" max="6153" width="16.25" style="399" bestFit="1" customWidth="1"/>
    <col min="6154" max="6154" width="7.375" style="399" bestFit="1" customWidth="1"/>
    <col min="6155" max="6155" width="6.375" style="399" bestFit="1" customWidth="1"/>
    <col min="6156" max="6156" width="22.875" style="399" customWidth="1"/>
    <col min="6157" max="6157" width="19.5" style="399" customWidth="1"/>
    <col min="6158" max="6159" width="9" style="399" bestFit="1" customWidth="1"/>
    <col min="6160" max="6160" width="15.75" style="399" customWidth="1"/>
    <col min="6161" max="6161" width="9.125" style="399" customWidth="1"/>
    <col min="6162" max="6162" width="14.375" style="399" customWidth="1"/>
    <col min="6163" max="6163" width="9.375" style="399" customWidth="1"/>
    <col min="6164" max="6164" width="8.875" style="399" customWidth="1"/>
    <col min="6165" max="6165" width="7.125" style="399" bestFit="1" customWidth="1"/>
    <col min="6166" max="6166" width="9.875" style="399" customWidth="1"/>
    <col min="6167" max="6167" width="7.125" style="399" bestFit="1" customWidth="1"/>
    <col min="6168" max="6168" width="9.625" style="399" customWidth="1"/>
    <col min="6169" max="6169" width="8.5" style="399" bestFit="1" customWidth="1"/>
    <col min="6170" max="6170" width="6.75" style="399" customWidth="1"/>
    <col min="6171" max="6171" width="10.625" style="399" customWidth="1"/>
    <col min="6172" max="6172" width="4.5" style="399" customWidth="1"/>
    <col min="6173" max="6173" width="8.75" style="399" customWidth="1"/>
    <col min="6174" max="6401" width="9" style="399"/>
    <col min="6402" max="6402" width="9.875" style="399" customWidth="1"/>
    <col min="6403" max="6403" width="4.5" style="399" customWidth="1"/>
    <col min="6404" max="6404" width="7.125" style="399" bestFit="1" customWidth="1"/>
    <col min="6405" max="6405" width="8.125" style="399" bestFit="1" customWidth="1"/>
    <col min="6406" max="6406" width="19.375" style="399" customWidth="1"/>
    <col min="6407" max="6408" width="13.125" style="399" bestFit="1" customWidth="1"/>
    <col min="6409" max="6409" width="16.25" style="399" bestFit="1" customWidth="1"/>
    <col min="6410" max="6410" width="7.375" style="399" bestFit="1" customWidth="1"/>
    <col min="6411" max="6411" width="6.375" style="399" bestFit="1" customWidth="1"/>
    <col min="6412" max="6412" width="22.875" style="399" customWidth="1"/>
    <col min="6413" max="6413" width="19.5" style="399" customWidth="1"/>
    <col min="6414" max="6415" width="9" style="399" bestFit="1" customWidth="1"/>
    <col min="6416" max="6416" width="15.75" style="399" customWidth="1"/>
    <col min="6417" max="6417" width="9.125" style="399" customWidth="1"/>
    <col min="6418" max="6418" width="14.375" style="399" customWidth="1"/>
    <col min="6419" max="6419" width="9.375" style="399" customWidth="1"/>
    <col min="6420" max="6420" width="8.875" style="399" customWidth="1"/>
    <col min="6421" max="6421" width="7.125" style="399" bestFit="1" customWidth="1"/>
    <col min="6422" max="6422" width="9.875" style="399" customWidth="1"/>
    <col min="6423" max="6423" width="7.125" style="399" bestFit="1" customWidth="1"/>
    <col min="6424" max="6424" width="9.625" style="399" customWidth="1"/>
    <col min="6425" max="6425" width="8.5" style="399" bestFit="1" customWidth="1"/>
    <col min="6426" max="6426" width="6.75" style="399" customWidth="1"/>
    <col min="6427" max="6427" width="10.625" style="399" customWidth="1"/>
    <col min="6428" max="6428" width="4.5" style="399" customWidth="1"/>
    <col min="6429" max="6429" width="8.75" style="399" customWidth="1"/>
    <col min="6430" max="6657" width="9" style="399"/>
    <col min="6658" max="6658" width="9.875" style="399" customWidth="1"/>
    <col min="6659" max="6659" width="4.5" style="399" customWidth="1"/>
    <col min="6660" max="6660" width="7.125" style="399" bestFit="1" customWidth="1"/>
    <col min="6661" max="6661" width="8.125" style="399" bestFit="1" customWidth="1"/>
    <col min="6662" max="6662" width="19.375" style="399" customWidth="1"/>
    <col min="6663" max="6664" width="13.125" style="399" bestFit="1" customWidth="1"/>
    <col min="6665" max="6665" width="16.25" style="399" bestFit="1" customWidth="1"/>
    <col min="6666" max="6666" width="7.375" style="399" bestFit="1" customWidth="1"/>
    <col min="6667" max="6667" width="6.375" style="399" bestFit="1" customWidth="1"/>
    <col min="6668" max="6668" width="22.875" style="399" customWidth="1"/>
    <col min="6669" max="6669" width="19.5" style="399" customWidth="1"/>
    <col min="6670" max="6671" width="9" style="399" bestFit="1" customWidth="1"/>
    <col min="6672" max="6672" width="15.75" style="399" customWidth="1"/>
    <col min="6673" max="6673" width="9.125" style="399" customWidth="1"/>
    <col min="6674" max="6674" width="14.375" style="399" customWidth="1"/>
    <col min="6675" max="6675" width="9.375" style="399" customWidth="1"/>
    <col min="6676" max="6676" width="8.875" style="399" customWidth="1"/>
    <col min="6677" max="6677" width="7.125" style="399" bestFit="1" customWidth="1"/>
    <col min="6678" max="6678" width="9.875" style="399" customWidth="1"/>
    <col min="6679" max="6679" width="7.125" style="399" bestFit="1" customWidth="1"/>
    <col min="6680" max="6680" width="9.625" style="399" customWidth="1"/>
    <col min="6681" max="6681" width="8.5" style="399" bestFit="1" customWidth="1"/>
    <col min="6682" max="6682" width="6.75" style="399" customWidth="1"/>
    <col min="6683" max="6683" width="10.625" style="399" customWidth="1"/>
    <col min="6684" max="6684" width="4.5" style="399" customWidth="1"/>
    <col min="6685" max="6685" width="8.75" style="399" customWidth="1"/>
    <col min="6686" max="6913" width="9" style="399"/>
    <col min="6914" max="6914" width="9.875" style="399" customWidth="1"/>
    <col min="6915" max="6915" width="4.5" style="399" customWidth="1"/>
    <col min="6916" max="6916" width="7.125" style="399" bestFit="1" customWidth="1"/>
    <col min="6917" max="6917" width="8.125" style="399" bestFit="1" customWidth="1"/>
    <col min="6918" max="6918" width="19.375" style="399" customWidth="1"/>
    <col min="6919" max="6920" width="13.125" style="399" bestFit="1" customWidth="1"/>
    <col min="6921" max="6921" width="16.25" style="399" bestFit="1" customWidth="1"/>
    <col min="6922" max="6922" width="7.375" style="399" bestFit="1" customWidth="1"/>
    <col min="6923" max="6923" width="6.375" style="399" bestFit="1" customWidth="1"/>
    <col min="6924" max="6924" width="22.875" style="399" customWidth="1"/>
    <col min="6925" max="6925" width="19.5" style="399" customWidth="1"/>
    <col min="6926" max="6927" width="9" style="399" bestFit="1" customWidth="1"/>
    <col min="6928" max="6928" width="15.75" style="399" customWidth="1"/>
    <col min="6929" max="6929" width="9.125" style="399" customWidth="1"/>
    <col min="6930" max="6930" width="14.375" style="399" customWidth="1"/>
    <col min="6931" max="6931" width="9.375" style="399" customWidth="1"/>
    <col min="6932" max="6932" width="8.875" style="399" customWidth="1"/>
    <col min="6933" max="6933" width="7.125" style="399" bestFit="1" customWidth="1"/>
    <col min="6934" max="6934" width="9.875" style="399" customWidth="1"/>
    <col min="6935" max="6935" width="7.125" style="399" bestFit="1" customWidth="1"/>
    <col min="6936" max="6936" width="9.625" style="399" customWidth="1"/>
    <col min="6937" max="6937" width="8.5" style="399" bestFit="1" customWidth="1"/>
    <col min="6938" max="6938" width="6.75" style="399" customWidth="1"/>
    <col min="6939" max="6939" width="10.625" style="399" customWidth="1"/>
    <col min="6940" max="6940" width="4.5" style="399" customWidth="1"/>
    <col min="6941" max="6941" width="8.75" style="399" customWidth="1"/>
    <col min="6942" max="7169" width="9" style="399"/>
    <col min="7170" max="7170" width="9.875" style="399" customWidth="1"/>
    <col min="7171" max="7171" width="4.5" style="399" customWidth="1"/>
    <col min="7172" max="7172" width="7.125" style="399" bestFit="1" customWidth="1"/>
    <col min="7173" max="7173" width="8.125" style="399" bestFit="1" customWidth="1"/>
    <col min="7174" max="7174" width="19.375" style="399" customWidth="1"/>
    <col min="7175" max="7176" width="13.125" style="399" bestFit="1" customWidth="1"/>
    <col min="7177" max="7177" width="16.25" style="399" bestFit="1" customWidth="1"/>
    <col min="7178" max="7178" width="7.375" style="399" bestFit="1" customWidth="1"/>
    <col min="7179" max="7179" width="6.375" style="399" bestFit="1" customWidth="1"/>
    <col min="7180" max="7180" width="22.875" style="399" customWidth="1"/>
    <col min="7181" max="7181" width="19.5" style="399" customWidth="1"/>
    <col min="7182" max="7183" width="9" style="399" bestFit="1" customWidth="1"/>
    <col min="7184" max="7184" width="15.75" style="399" customWidth="1"/>
    <col min="7185" max="7185" width="9.125" style="399" customWidth="1"/>
    <col min="7186" max="7186" width="14.375" style="399" customWidth="1"/>
    <col min="7187" max="7187" width="9.375" style="399" customWidth="1"/>
    <col min="7188" max="7188" width="8.875" style="399" customWidth="1"/>
    <col min="7189" max="7189" width="7.125" style="399" bestFit="1" customWidth="1"/>
    <col min="7190" max="7190" width="9.875" style="399" customWidth="1"/>
    <col min="7191" max="7191" width="7.125" style="399" bestFit="1" customWidth="1"/>
    <col min="7192" max="7192" width="9.625" style="399" customWidth="1"/>
    <col min="7193" max="7193" width="8.5" style="399" bestFit="1" customWidth="1"/>
    <col min="7194" max="7194" width="6.75" style="399" customWidth="1"/>
    <col min="7195" max="7195" width="10.625" style="399" customWidth="1"/>
    <col min="7196" max="7196" width="4.5" style="399" customWidth="1"/>
    <col min="7197" max="7197" width="8.75" style="399" customWidth="1"/>
    <col min="7198" max="7425" width="9" style="399"/>
    <col min="7426" max="7426" width="9.875" style="399" customWidth="1"/>
    <col min="7427" max="7427" width="4.5" style="399" customWidth="1"/>
    <col min="7428" max="7428" width="7.125" style="399" bestFit="1" customWidth="1"/>
    <col min="7429" max="7429" width="8.125" style="399" bestFit="1" customWidth="1"/>
    <col min="7430" max="7430" width="19.375" style="399" customWidth="1"/>
    <col min="7431" max="7432" width="13.125" style="399" bestFit="1" customWidth="1"/>
    <col min="7433" max="7433" width="16.25" style="399" bestFit="1" customWidth="1"/>
    <col min="7434" max="7434" width="7.375" style="399" bestFit="1" customWidth="1"/>
    <col min="7435" max="7435" width="6.375" style="399" bestFit="1" customWidth="1"/>
    <col min="7436" max="7436" width="22.875" style="399" customWidth="1"/>
    <col min="7437" max="7437" width="19.5" style="399" customWidth="1"/>
    <col min="7438" max="7439" width="9" style="399" bestFit="1" customWidth="1"/>
    <col min="7440" max="7440" width="15.75" style="399" customWidth="1"/>
    <col min="7441" max="7441" width="9.125" style="399" customWidth="1"/>
    <col min="7442" max="7442" width="14.375" style="399" customWidth="1"/>
    <col min="7443" max="7443" width="9.375" style="399" customWidth="1"/>
    <col min="7444" max="7444" width="8.875" style="399" customWidth="1"/>
    <col min="7445" max="7445" width="7.125" style="399" bestFit="1" customWidth="1"/>
    <col min="7446" max="7446" width="9.875" style="399" customWidth="1"/>
    <col min="7447" max="7447" width="7.125" style="399" bestFit="1" customWidth="1"/>
    <col min="7448" max="7448" width="9.625" style="399" customWidth="1"/>
    <col min="7449" max="7449" width="8.5" style="399" bestFit="1" customWidth="1"/>
    <col min="7450" max="7450" width="6.75" style="399" customWidth="1"/>
    <col min="7451" max="7451" width="10.625" style="399" customWidth="1"/>
    <col min="7452" max="7452" width="4.5" style="399" customWidth="1"/>
    <col min="7453" max="7453" width="8.75" style="399" customWidth="1"/>
    <col min="7454" max="7681" width="9" style="399"/>
    <col min="7682" max="7682" width="9.875" style="399" customWidth="1"/>
    <col min="7683" max="7683" width="4.5" style="399" customWidth="1"/>
    <col min="7684" max="7684" width="7.125" style="399" bestFit="1" customWidth="1"/>
    <col min="7685" max="7685" width="8.125" style="399" bestFit="1" customWidth="1"/>
    <col min="7686" max="7686" width="19.375" style="399" customWidth="1"/>
    <col min="7687" max="7688" width="13.125" style="399" bestFit="1" customWidth="1"/>
    <col min="7689" max="7689" width="16.25" style="399" bestFit="1" customWidth="1"/>
    <col min="7690" max="7690" width="7.375" style="399" bestFit="1" customWidth="1"/>
    <col min="7691" max="7691" width="6.375" style="399" bestFit="1" customWidth="1"/>
    <col min="7692" max="7692" width="22.875" style="399" customWidth="1"/>
    <col min="7693" max="7693" width="19.5" style="399" customWidth="1"/>
    <col min="7694" max="7695" width="9" style="399" bestFit="1" customWidth="1"/>
    <col min="7696" max="7696" width="15.75" style="399" customWidth="1"/>
    <col min="7697" max="7697" width="9.125" style="399" customWidth="1"/>
    <col min="7698" max="7698" width="14.375" style="399" customWidth="1"/>
    <col min="7699" max="7699" width="9.375" style="399" customWidth="1"/>
    <col min="7700" max="7700" width="8.875" style="399" customWidth="1"/>
    <col min="7701" max="7701" width="7.125" style="399" bestFit="1" customWidth="1"/>
    <col min="7702" max="7702" width="9.875" style="399" customWidth="1"/>
    <col min="7703" max="7703" width="7.125" style="399" bestFit="1" customWidth="1"/>
    <col min="7704" max="7704" width="9.625" style="399" customWidth="1"/>
    <col min="7705" max="7705" width="8.5" style="399" bestFit="1" customWidth="1"/>
    <col min="7706" max="7706" width="6.75" style="399" customWidth="1"/>
    <col min="7707" max="7707" width="10.625" style="399" customWidth="1"/>
    <col min="7708" max="7708" width="4.5" style="399" customWidth="1"/>
    <col min="7709" max="7709" width="8.75" style="399" customWidth="1"/>
    <col min="7710" max="7937" width="9" style="399"/>
    <col min="7938" max="7938" width="9.875" style="399" customWidth="1"/>
    <col min="7939" max="7939" width="4.5" style="399" customWidth="1"/>
    <col min="7940" max="7940" width="7.125" style="399" bestFit="1" customWidth="1"/>
    <col min="7941" max="7941" width="8.125" style="399" bestFit="1" customWidth="1"/>
    <col min="7942" max="7942" width="19.375" style="399" customWidth="1"/>
    <col min="7943" max="7944" width="13.125" style="399" bestFit="1" customWidth="1"/>
    <col min="7945" max="7945" width="16.25" style="399" bestFit="1" customWidth="1"/>
    <col min="7946" max="7946" width="7.375" style="399" bestFit="1" customWidth="1"/>
    <col min="7947" max="7947" width="6.375" style="399" bestFit="1" customWidth="1"/>
    <col min="7948" max="7948" width="22.875" style="399" customWidth="1"/>
    <col min="7949" max="7949" width="19.5" style="399" customWidth="1"/>
    <col min="7950" max="7951" width="9" style="399" bestFit="1" customWidth="1"/>
    <col min="7952" max="7952" width="15.75" style="399" customWidth="1"/>
    <col min="7953" max="7953" width="9.125" style="399" customWidth="1"/>
    <col min="7954" max="7954" width="14.375" style="399" customWidth="1"/>
    <col min="7955" max="7955" width="9.375" style="399" customWidth="1"/>
    <col min="7956" max="7956" width="8.875" style="399" customWidth="1"/>
    <col min="7957" max="7957" width="7.125" style="399" bestFit="1" customWidth="1"/>
    <col min="7958" max="7958" width="9.875" style="399" customWidth="1"/>
    <col min="7959" max="7959" width="7.125" style="399" bestFit="1" customWidth="1"/>
    <col min="7960" max="7960" width="9.625" style="399" customWidth="1"/>
    <col min="7961" max="7961" width="8.5" style="399" bestFit="1" customWidth="1"/>
    <col min="7962" max="7962" width="6.75" style="399" customWidth="1"/>
    <col min="7963" max="7963" width="10.625" style="399" customWidth="1"/>
    <col min="7964" max="7964" width="4.5" style="399" customWidth="1"/>
    <col min="7965" max="7965" width="8.75" style="399" customWidth="1"/>
    <col min="7966" max="8193" width="9" style="399"/>
    <col min="8194" max="8194" width="9.875" style="399" customWidth="1"/>
    <col min="8195" max="8195" width="4.5" style="399" customWidth="1"/>
    <col min="8196" max="8196" width="7.125" style="399" bestFit="1" customWidth="1"/>
    <col min="8197" max="8197" width="8.125" style="399" bestFit="1" customWidth="1"/>
    <col min="8198" max="8198" width="19.375" style="399" customWidth="1"/>
    <col min="8199" max="8200" width="13.125" style="399" bestFit="1" customWidth="1"/>
    <col min="8201" max="8201" width="16.25" style="399" bestFit="1" customWidth="1"/>
    <col min="8202" max="8202" width="7.375" style="399" bestFit="1" customWidth="1"/>
    <col min="8203" max="8203" width="6.375" style="399" bestFit="1" customWidth="1"/>
    <col min="8204" max="8204" width="22.875" style="399" customWidth="1"/>
    <col min="8205" max="8205" width="19.5" style="399" customWidth="1"/>
    <col min="8206" max="8207" width="9" style="399" bestFit="1" customWidth="1"/>
    <col min="8208" max="8208" width="15.75" style="399" customWidth="1"/>
    <col min="8209" max="8209" width="9.125" style="399" customWidth="1"/>
    <col min="8210" max="8210" width="14.375" style="399" customWidth="1"/>
    <col min="8211" max="8211" width="9.375" style="399" customWidth="1"/>
    <col min="8212" max="8212" width="8.875" style="399" customWidth="1"/>
    <col min="8213" max="8213" width="7.125" style="399" bestFit="1" customWidth="1"/>
    <col min="8214" max="8214" width="9.875" style="399" customWidth="1"/>
    <col min="8215" max="8215" width="7.125" style="399" bestFit="1" customWidth="1"/>
    <col min="8216" max="8216" width="9.625" style="399" customWidth="1"/>
    <col min="8217" max="8217" width="8.5" style="399" bestFit="1" customWidth="1"/>
    <col min="8218" max="8218" width="6.75" style="399" customWidth="1"/>
    <col min="8219" max="8219" width="10.625" style="399" customWidth="1"/>
    <col min="8220" max="8220" width="4.5" style="399" customWidth="1"/>
    <col min="8221" max="8221" width="8.75" style="399" customWidth="1"/>
    <col min="8222" max="8449" width="9" style="399"/>
    <col min="8450" max="8450" width="9.875" style="399" customWidth="1"/>
    <col min="8451" max="8451" width="4.5" style="399" customWidth="1"/>
    <col min="8452" max="8452" width="7.125" style="399" bestFit="1" customWidth="1"/>
    <col min="8453" max="8453" width="8.125" style="399" bestFit="1" customWidth="1"/>
    <col min="8454" max="8454" width="19.375" style="399" customWidth="1"/>
    <col min="8455" max="8456" width="13.125" style="399" bestFit="1" customWidth="1"/>
    <col min="8457" max="8457" width="16.25" style="399" bestFit="1" customWidth="1"/>
    <col min="8458" max="8458" width="7.375" style="399" bestFit="1" customWidth="1"/>
    <col min="8459" max="8459" width="6.375" style="399" bestFit="1" customWidth="1"/>
    <col min="8460" max="8460" width="22.875" style="399" customWidth="1"/>
    <col min="8461" max="8461" width="19.5" style="399" customWidth="1"/>
    <col min="8462" max="8463" width="9" style="399" bestFit="1" customWidth="1"/>
    <col min="8464" max="8464" width="15.75" style="399" customWidth="1"/>
    <col min="8465" max="8465" width="9.125" style="399" customWidth="1"/>
    <col min="8466" max="8466" width="14.375" style="399" customWidth="1"/>
    <col min="8467" max="8467" width="9.375" style="399" customWidth="1"/>
    <col min="8468" max="8468" width="8.875" style="399" customWidth="1"/>
    <col min="8469" max="8469" width="7.125" style="399" bestFit="1" customWidth="1"/>
    <col min="8470" max="8470" width="9.875" style="399" customWidth="1"/>
    <col min="8471" max="8471" width="7.125" style="399" bestFit="1" customWidth="1"/>
    <col min="8472" max="8472" width="9.625" style="399" customWidth="1"/>
    <col min="8473" max="8473" width="8.5" style="399" bestFit="1" customWidth="1"/>
    <col min="8474" max="8474" width="6.75" style="399" customWidth="1"/>
    <col min="8475" max="8475" width="10.625" style="399" customWidth="1"/>
    <col min="8476" max="8476" width="4.5" style="399" customWidth="1"/>
    <col min="8477" max="8477" width="8.75" style="399" customWidth="1"/>
    <col min="8478" max="8705" width="9" style="399"/>
    <col min="8706" max="8706" width="9.875" style="399" customWidth="1"/>
    <col min="8707" max="8707" width="4.5" style="399" customWidth="1"/>
    <col min="8708" max="8708" width="7.125" style="399" bestFit="1" customWidth="1"/>
    <col min="8709" max="8709" width="8.125" style="399" bestFit="1" customWidth="1"/>
    <col min="8710" max="8710" width="19.375" style="399" customWidth="1"/>
    <col min="8711" max="8712" width="13.125" style="399" bestFit="1" customWidth="1"/>
    <col min="8713" max="8713" width="16.25" style="399" bestFit="1" customWidth="1"/>
    <col min="8714" max="8714" width="7.375" style="399" bestFit="1" customWidth="1"/>
    <col min="8715" max="8715" width="6.375" style="399" bestFit="1" customWidth="1"/>
    <col min="8716" max="8716" width="22.875" style="399" customWidth="1"/>
    <col min="8717" max="8717" width="19.5" style="399" customWidth="1"/>
    <col min="8718" max="8719" width="9" style="399" bestFit="1" customWidth="1"/>
    <col min="8720" max="8720" width="15.75" style="399" customWidth="1"/>
    <col min="8721" max="8721" width="9.125" style="399" customWidth="1"/>
    <col min="8722" max="8722" width="14.375" style="399" customWidth="1"/>
    <col min="8723" max="8723" width="9.375" style="399" customWidth="1"/>
    <col min="8724" max="8724" width="8.875" style="399" customWidth="1"/>
    <col min="8725" max="8725" width="7.125" style="399" bestFit="1" customWidth="1"/>
    <col min="8726" max="8726" width="9.875" style="399" customWidth="1"/>
    <col min="8727" max="8727" width="7.125" style="399" bestFit="1" customWidth="1"/>
    <col min="8728" max="8728" width="9.625" style="399" customWidth="1"/>
    <col min="8729" max="8729" width="8.5" style="399" bestFit="1" customWidth="1"/>
    <col min="8730" max="8730" width="6.75" style="399" customWidth="1"/>
    <col min="8731" max="8731" width="10.625" style="399" customWidth="1"/>
    <col min="8732" max="8732" width="4.5" style="399" customWidth="1"/>
    <col min="8733" max="8733" width="8.75" style="399" customWidth="1"/>
    <col min="8734" max="8961" width="9" style="399"/>
    <col min="8962" max="8962" width="9.875" style="399" customWidth="1"/>
    <col min="8963" max="8963" width="4.5" style="399" customWidth="1"/>
    <col min="8964" max="8964" width="7.125" style="399" bestFit="1" customWidth="1"/>
    <col min="8965" max="8965" width="8.125" style="399" bestFit="1" customWidth="1"/>
    <col min="8966" max="8966" width="19.375" style="399" customWidth="1"/>
    <col min="8967" max="8968" width="13.125" style="399" bestFit="1" customWidth="1"/>
    <col min="8969" max="8969" width="16.25" style="399" bestFit="1" customWidth="1"/>
    <col min="8970" max="8970" width="7.375" style="399" bestFit="1" customWidth="1"/>
    <col min="8971" max="8971" width="6.375" style="399" bestFit="1" customWidth="1"/>
    <col min="8972" max="8972" width="22.875" style="399" customWidth="1"/>
    <col min="8973" max="8973" width="19.5" style="399" customWidth="1"/>
    <col min="8974" max="8975" width="9" style="399" bestFit="1" customWidth="1"/>
    <col min="8976" max="8976" width="15.75" style="399" customWidth="1"/>
    <col min="8977" max="8977" width="9.125" style="399" customWidth="1"/>
    <col min="8978" max="8978" width="14.375" style="399" customWidth="1"/>
    <col min="8979" max="8979" width="9.375" style="399" customWidth="1"/>
    <col min="8980" max="8980" width="8.875" style="399" customWidth="1"/>
    <col min="8981" max="8981" width="7.125" style="399" bestFit="1" customWidth="1"/>
    <col min="8982" max="8982" width="9.875" style="399" customWidth="1"/>
    <col min="8983" max="8983" width="7.125" style="399" bestFit="1" customWidth="1"/>
    <col min="8984" max="8984" width="9.625" style="399" customWidth="1"/>
    <col min="8985" max="8985" width="8.5" style="399" bestFit="1" customWidth="1"/>
    <col min="8986" max="8986" width="6.75" style="399" customWidth="1"/>
    <col min="8987" max="8987" width="10.625" style="399" customWidth="1"/>
    <col min="8988" max="8988" width="4.5" style="399" customWidth="1"/>
    <col min="8989" max="8989" width="8.75" style="399" customWidth="1"/>
    <col min="8990" max="9217" width="9" style="399"/>
    <col min="9218" max="9218" width="9.875" style="399" customWidth="1"/>
    <col min="9219" max="9219" width="4.5" style="399" customWidth="1"/>
    <col min="9220" max="9220" width="7.125" style="399" bestFit="1" customWidth="1"/>
    <col min="9221" max="9221" width="8.125" style="399" bestFit="1" customWidth="1"/>
    <col min="9222" max="9222" width="19.375" style="399" customWidth="1"/>
    <col min="9223" max="9224" width="13.125" style="399" bestFit="1" customWidth="1"/>
    <col min="9225" max="9225" width="16.25" style="399" bestFit="1" customWidth="1"/>
    <col min="9226" max="9226" width="7.375" style="399" bestFit="1" customWidth="1"/>
    <col min="9227" max="9227" width="6.375" style="399" bestFit="1" customWidth="1"/>
    <col min="9228" max="9228" width="22.875" style="399" customWidth="1"/>
    <col min="9229" max="9229" width="19.5" style="399" customWidth="1"/>
    <col min="9230" max="9231" width="9" style="399" bestFit="1" customWidth="1"/>
    <col min="9232" max="9232" width="15.75" style="399" customWidth="1"/>
    <col min="9233" max="9233" width="9.125" style="399" customWidth="1"/>
    <col min="9234" max="9234" width="14.375" style="399" customWidth="1"/>
    <col min="9235" max="9235" width="9.375" style="399" customWidth="1"/>
    <col min="9236" max="9236" width="8.875" style="399" customWidth="1"/>
    <col min="9237" max="9237" width="7.125" style="399" bestFit="1" customWidth="1"/>
    <col min="9238" max="9238" width="9.875" style="399" customWidth="1"/>
    <col min="9239" max="9239" width="7.125" style="399" bestFit="1" customWidth="1"/>
    <col min="9240" max="9240" width="9.625" style="399" customWidth="1"/>
    <col min="9241" max="9241" width="8.5" style="399" bestFit="1" customWidth="1"/>
    <col min="9242" max="9242" width="6.75" style="399" customWidth="1"/>
    <col min="9243" max="9243" width="10.625" style="399" customWidth="1"/>
    <col min="9244" max="9244" width="4.5" style="399" customWidth="1"/>
    <col min="9245" max="9245" width="8.75" style="399" customWidth="1"/>
    <col min="9246" max="9473" width="9" style="399"/>
    <col min="9474" max="9474" width="9.875" style="399" customWidth="1"/>
    <col min="9475" max="9475" width="4.5" style="399" customWidth="1"/>
    <col min="9476" max="9476" width="7.125" style="399" bestFit="1" customWidth="1"/>
    <col min="9477" max="9477" width="8.125" style="399" bestFit="1" customWidth="1"/>
    <col min="9478" max="9478" width="19.375" style="399" customWidth="1"/>
    <col min="9479" max="9480" width="13.125" style="399" bestFit="1" customWidth="1"/>
    <col min="9481" max="9481" width="16.25" style="399" bestFit="1" customWidth="1"/>
    <col min="9482" max="9482" width="7.375" style="399" bestFit="1" customWidth="1"/>
    <col min="9483" max="9483" width="6.375" style="399" bestFit="1" customWidth="1"/>
    <col min="9484" max="9484" width="22.875" style="399" customWidth="1"/>
    <col min="9485" max="9485" width="19.5" style="399" customWidth="1"/>
    <col min="9486" max="9487" width="9" style="399" bestFit="1" customWidth="1"/>
    <col min="9488" max="9488" width="15.75" style="399" customWidth="1"/>
    <col min="9489" max="9489" width="9.125" style="399" customWidth="1"/>
    <col min="9490" max="9490" width="14.375" style="399" customWidth="1"/>
    <col min="9491" max="9491" width="9.375" style="399" customWidth="1"/>
    <col min="9492" max="9492" width="8.875" style="399" customWidth="1"/>
    <col min="9493" max="9493" width="7.125" style="399" bestFit="1" customWidth="1"/>
    <col min="9494" max="9494" width="9.875" style="399" customWidth="1"/>
    <col min="9495" max="9495" width="7.125" style="399" bestFit="1" customWidth="1"/>
    <col min="9496" max="9496" width="9.625" style="399" customWidth="1"/>
    <col min="9497" max="9497" width="8.5" style="399" bestFit="1" customWidth="1"/>
    <col min="9498" max="9498" width="6.75" style="399" customWidth="1"/>
    <col min="9499" max="9499" width="10.625" style="399" customWidth="1"/>
    <col min="9500" max="9500" width="4.5" style="399" customWidth="1"/>
    <col min="9501" max="9501" width="8.75" style="399" customWidth="1"/>
    <col min="9502" max="9729" width="9" style="399"/>
    <col min="9730" max="9730" width="9.875" style="399" customWidth="1"/>
    <col min="9731" max="9731" width="4.5" style="399" customWidth="1"/>
    <col min="9732" max="9732" width="7.125" style="399" bestFit="1" customWidth="1"/>
    <col min="9733" max="9733" width="8.125" style="399" bestFit="1" customWidth="1"/>
    <col min="9734" max="9734" width="19.375" style="399" customWidth="1"/>
    <col min="9735" max="9736" width="13.125" style="399" bestFit="1" customWidth="1"/>
    <col min="9737" max="9737" width="16.25" style="399" bestFit="1" customWidth="1"/>
    <col min="9738" max="9738" width="7.375" style="399" bestFit="1" customWidth="1"/>
    <col min="9739" max="9739" width="6.375" style="399" bestFit="1" customWidth="1"/>
    <col min="9740" max="9740" width="22.875" style="399" customWidth="1"/>
    <col min="9741" max="9741" width="19.5" style="399" customWidth="1"/>
    <col min="9742" max="9743" width="9" style="399" bestFit="1" customWidth="1"/>
    <col min="9744" max="9744" width="15.75" style="399" customWidth="1"/>
    <col min="9745" max="9745" width="9.125" style="399" customWidth="1"/>
    <col min="9746" max="9746" width="14.375" style="399" customWidth="1"/>
    <col min="9747" max="9747" width="9.375" style="399" customWidth="1"/>
    <col min="9748" max="9748" width="8.875" style="399" customWidth="1"/>
    <col min="9749" max="9749" width="7.125" style="399" bestFit="1" customWidth="1"/>
    <col min="9750" max="9750" width="9.875" style="399" customWidth="1"/>
    <col min="9751" max="9751" width="7.125" style="399" bestFit="1" customWidth="1"/>
    <col min="9752" max="9752" width="9.625" style="399" customWidth="1"/>
    <col min="9753" max="9753" width="8.5" style="399" bestFit="1" customWidth="1"/>
    <col min="9754" max="9754" width="6.75" style="399" customWidth="1"/>
    <col min="9755" max="9755" width="10.625" style="399" customWidth="1"/>
    <col min="9756" max="9756" width="4.5" style="399" customWidth="1"/>
    <col min="9757" max="9757" width="8.75" style="399" customWidth="1"/>
    <col min="9758" max="9985" width="9" style="399"/>
    <col min="9986" max="9986" width="9.875" style="399" customWidth="1"/>
    <col min="9987" max="9987" width="4.5" style="399" customWidth="1"/>
    <col min="9988" max="9988" width="7.125" style="399" bestFit="1" customWidth="1"/>
    <col min="9989" max="9989" width="8.125" style="399" bestFit="1" customWidth="1"/>
    <col min="9990" max="9990" width="19.375" style="399" customWidth="1"/>
    <col min="9991" max="9992" width="13.125" style="399" bestFit="1" customWidth="1"/>
    <col min="9993" max="9993" width="16.25" style="399" bestFit="1" customWidth="1"/>
    <col min="9994" max="9994" width="7.375" style="399" bestFit="1" customWidth="1"/>
    <col min="9995" max="9995" width="6.375" style="399" bestFit="1" customWidth="1"/>
    <col min="9996" max="9996" width="22.875" style="399" customWidth="1"/>
    <col min="9997" max="9997" width="19.5" style="399" customWidth="1"/>
    <col min="9998" max="9999" width="9" style="399" bestFit="1" customWidth="1"/>
    <col min="10000" max="10000" width="15.75" style="399" customWidth="1"/>
    <col min="10001" max="10001" width="9.125" style="399" customWidth="1"/>
    <col min="10002" max="10002" width="14.375" style="399" customWidth="1"/>
    <col min="10003" max="10003" width="9.375" style="399" customWidth="1"/>
    <col min="10004" max="10004" width="8.875" style="399" customWidth="1"/>
    <col min="10005" max="10005" width="7.125" style="399" bestFit="1" customWidth="1"/>
    <col min="10006" max="10006" width="9.875" style="399" customWidth="1"/>
    <col min="10007" max="10007" width="7.125" style="399" bestFit="1" customWidth="1"/>
    <col min="10008" max="10008" width="9.625" style="399" customWidth="1"/>
    <col min="10009" max="10009" width="8.5" style="399" bestFit="1" customWidth="1"/>
    <col min="10010" max="10010" width="6.75" style="399" customWidth="1"/>
    <col min="10011" max="10011" width="10.625" style="399" customWidth="1"/>
    <col min="10012" max="10012" width="4.5" style="399" customWidth="1"/>
    <col min="10013" max="10013" width="8.75" style="399" customWidth="1"/>
    <col min="10014" max="10241" width="9" style="399"/>
    <col min="10242" max="10242" width="9.875" style="399" customWidth="1"/>
    <col min="10243" max="10243" width="4.5" style="399" customWidth="1"/>
    <col min="10244" max="10244" width="7.125" style="399" bestFit="1" customWidth="1"/>
    <col min="10245" max="10245" width="8.125" style="399" bestFit="1" customWidth="1"/>
    <col min="10246" max="10246" width="19.375" style="399" customWidth="1"/>
    <col min="10247" max="10248" width="13.125" style="399" bestFit="1" customWidth="1"/>
    <col min="10249" max="10249" width="16.25" style="399" bestFit="1" customWidth="1"/>
    <col min="10250" max="10250" width="7.375" style="399" bestFit="1" customWidth="1"/>
    <col min="10251" max="10251" width="6.375" style="399" bestFit="1" customWidth="1"/>
    <col min="10252" max="10252" width="22.875" style="399" customWidth="1"/>
    <col min="10253" max="10253" width="19.5" style="399" customWidth="1"/>
    <col min="10254" max="10255" width="9" style="399" bestFit="1" customWidth="1"/>
    <col min="10256" max="10256" width="15.75" style="399" customWidth="1"/>
    <col min="10257" max="10257" width="9.125" style="399" customWidth="1"/>
    <col min="10258" max="10258" width="14.375" style="399" customWidth="1"/>
    <col min="10259" max="10259" width="9.375" style="399" customWidth="1"/>
    <col min="10260" max="10260" width="8.875" style="399" customWidth="1"/>
    <col min="10261" max="10261" width="7.125" style="399" bestFit="1" customWidth="1"/>
    <col min="10262" max="10262" width="9.875" style="399" customWidth="1"/>
    <col min="10263" max="10263" width="7.125" style="399" bestFit="1" customWidth="1"/>
    <col min="10264" max="10264" width="9.625" style="399" customWidth="1"/>
    <col min="10265" max="10265" width="8.5" style="399" bestFit="1" customWidth="1"/>
    <col min="10266" max="10266" width="6.75" style="399" customWidth="1"/>
    <col min="10267" max="10267" width="10.625" style="399" customWidth="1"/>
    <col min="10268" max="10268" width="4.5" style="399" customWidth="1"/>
    <col min="10269" max="10269" width="8.75" style="399" customWidth="1"/>
    <col min="10270" max="10497" width="9" style="399"/>
    <col min="10498" max="10498" width="9.875" style="399" customWidth="1"/>
    <col min="10499" max="10499" width="4.5" style="399" customWidth="1"/>
    <col min="10500" max="10500" width="7.125" style="399" bestFit="1" customWidth="1"/>
    <col min="10501" max="10501" width="8.125" style="399" bestFit="1" customWidth="1"/>
    <col min="10502" max="10502" width="19.375" style="399" customWidth="1"/>
    <col min="10503" max="10504" width="13.125" style="399" bestFit="1" customWidth="1"/>
    <col min="10505" max="10505" width="16.25" style="399" bestFit="1" customWidth="1"/>
    <col min="10506" max="10506" width="7.375" style="399" bestFit="1" customWidth="1"/>
    <col min="10507" max="10507" width="6.375" style="399" bestFit="1" customWidth="1"/>
    <col min="10508" max="10508" width="22.875" style="399" customWidth="1"/>
    <col min="10509" max="10509" width="19.5" style="399" customWidth="1"/>
    <col min="10510" max="10511" width="9" style="399" bestFit="1" customWidth="1"/>
    <col min="10512" max="10512" width="15.75" style="399" customWidth="1"/>
    <col min="10513" max="10513" width="9.125" style="399" customWidth="1"/>
    <col min="10514" max="10514" width="14.375" style="399" customWidth="1"/>
    <col min="10515" max="10515" width="9.375" style="399" customWidth="1"/>
    <col min="10516" max="10516" width="8.875" style="399" customWidth="1"/>
    <col min="10517" max="10517" width="7.125" style="399" bestFit="1" customWidth="1"/>
    <col min="10518" max="10518" width="9.875" style="399" customWidth="1"/>
    <col min="10519" max="10519" width="7.125" style="399" bestFit="1" customWidth="1"/>
    <col min="10520" max="10520" width="9.625" style="399" customWidth="1"/>
    <col min="10521" max="10521" width="8.5" style="399" bestFit="1" customWidth="1"/>
    <col min="10522" max="10522" width="6.75" style="399" customWidth="1"/>
    <col min="10523" max="10523" width="10.625" style="399" customWidth="1"/>
    <col min="10524" max="10524" width="4.5" style="399" customWidth="1"/>
    <col min="10525" max="10525" width="8.75" style="399" customWidth="1"/>
    <col min="10526" max="10753" width="9" style="399"/>
    <col min="10754" max="10754" width="9.875" style="399" customWidth="1"/>
    <col min="10755" max="10755" width="4.5" style="399" customWidth="1"/>
    <col min="10756" max="10756" width="7.125" style="399" bestFit="1" customWidth="1"/>
    <col min="10757" max="10757" width="8.125" style="399" bestFit="1" customWidth="1"/>
    <col min="10758" max="10758" width="19.375" style="399" customWidth="1"/>
    <col min="10759" max="10760" width="13.125" style="399" bestFit="1" customWidth="1"/>
    <col min="10761" max="10761" width="16.25" style="399" bestFit="1" customWidth="1"/>
    <col min="10762" max="10762" width="7.375" style="399" bestFit="1" customWidth="1"/>
    <col min="10763" max="10763" width="6.375" style="399" bestFit="1" customWidth="1"/>
    <col min="10764" max="10764" width="22.875" style="399" customWidth="1"/>
    <col min="10765" max="10765" width="19.5" style="399" customWidth="1"/>
    <col min="10766" max="10767" width="9" style="399" bestFit="1" customWidth="1"/>
    <col min="10768" max="10768" width="15.75" style="399" customWidth="1"/>
    <col min="10769" max="10769" width="9.125" style="399" customWidth="1"/>
    <col min="10770" max="10770" width="14.375" style="399" customWidth="1"/>
    <col min="10771" max="10771" width="9.375" style="399" customWidth="1"/>
    <col min="10772" max="10772" width="8.875" style="399" customWidth="1"/>
    <col min="10773" max="10773" width="7.125" style="399" bestFit="1" customWidth="1"/>
    <col min="10774" max="10774" width="9.875" style="399" customWidth="1"/>
    <col min="10775" max="10775" width="7.125" style="399" bestFit="1" customWidth="1"/>
    <col min="10776" max="10776" width="9.625" style="399" customWidth="1"/>
    <col min="10777" max="10777" width="8.5" style="399" bestFit="1" customWidth="1"/>
    <col min="10778" max="10778" width="6.75" style="399" customWidth="1"/>
    <col min="10779" max="10779" width="10.625" style="399" customWidth="1"/>
    <col min="10780" max="10780" width="4.5" style="399" customWidth="1"/>
    <col min="10781" max="10781" width="8.75" style="399" customWidth="1"/>
    <col min="10782" max="11009" width="9" style="399"/>
    <col min="11010" max="11010" width="9.875" style="399" customWidth="1"/>
    <col min="11011" max="11011" width="4.5" style="399" customWidth="1"/>
    <col min="11012" max="11012" width="7.125" style="399" bestFit="1" customWidth="1"/>
    <col min="11013" max="11013" width="8.125" style="399" bestFit="1" customWidth="1"/>
    <col min="11014" max="11014" width="19.375" style="399" customWidth="1"/>
    <col min="11015" max="11016" width="13.125" style="399" bestFit="1" customWidth="1"/>
    <col min="11017" max="11017" width="16.25" style="399" bestFit="1" customWidth="1"/>
    <col min="11018" max="11018" width="7.375" style="399" bestFit="1" customWidth="1"/>
    <col min="11019" max="11019" width="6.375" style="399" bestFit="1" customWidth="1"/>
    <col min="11020" max="11020" width="22.875" style="399" customWidth="1"/>
    <col min="11021" max="11021" width="19.5" style="399" customWidth="1"/>
    <col min="11022" max="11023" width="9" style="399" bestFit="1" customWidth="1"/>
    <col min="11024" max="11024" width="15.75" style="399" customWidth="1"/>
    <col min="11025" max="11025" width="9.125" style="399" customWidth="1"/>
    <col min="11026" max="11026" width="14.375" style="399" customWidth="1"/>
    <col min="11027" max="11027" width="9.375" style="399" customWidth="1"/>
    <col min="11028" max="11028" width="8.875" style="399" customWidth="1"/>
    <col min="11029" max="11029" width="7.125" style="399" bestFit="1" customWidth="1"/>
    <col min="11030" max="11030" width="9.875" style="399" customWidth="1"/>
    <col min="11031" max="11031" width="7.125" style="399" bestFit="1" customWidth="1"/>
    <col min="11032" max="11032" width="9.625" style="399" customWidth="1"/>
    <col min="11033" max="11033" width="8.5" style="399" bestFit="1" customWidth="1"/>
    <col min="11034" max="11034" width="6.75" style="399" customWidth="1"/>
    <col min="11035" max="11035" width="10.625" style="399" customWidth="1"/>
    <col min="11036" max="11036" width="4.5" style="399" customWidth="1"/>
    <col min="11037" max="11037" width="8.75" style="399" customWidth="1"/>
    <col min="11038" max="11265" width="9" style="399"/>
    <col min="11266" max="11266" width="9.875" style="399" customWidth="1"/>
    <col min="11267" max="11267" width="4.5" style="399" customWidth="1"/>
    <col min="11268" max="11268" width="7.125" style="399" bestFit="1" customWidth="1"/>
    <col min="11269" max="11269" width="8.125" style="399" bestFit="1" customWidth="1"/>
    <col min="11270" max="11270" width="19.375" style="399" customWidth="1"/>
    <col min="11271" max="11272" width="13.125" style="399" bestFit="1" customWidth="1"/>
    <col min="11273" max="11273" width="16.25" style="399" bestFit="1" customWidth="1"/>
    <col min="11274" max="11274" width="7.375" style="399" bestFit="1" customWidth="1"/>
    <col min="11275" max="11275" width="6.375" style="399" bestFit="1" customWidth="1"/>
    <col min="11276" max="11276" width="22.875" style="399" customWidth="1"/>
    <col min="11277" max="11277" width="19.5" style="399" customWidth="1"/>
    <col min="11278" max="11279" width="9" style="399" bestFit="1" customWidth="1"/>
    <col min="11280" max="11280" width="15.75" style="399" customWidth="1"/>
    <col min="11281" max="11281" width="9.125" style="399" customWidth="1"/>
    <col min="11282" max="11282" width="14.375" style="399" customWidth="1"/>
    <col min="11283" max="11283" width="9.375" style="399" customWidth="1"/>
    <col min="11284" max="11284" width="8.875" style="399" customWidth="1"/>
    <col min="11285" max="11285" width="7.125" style="399" bestFit="1" customWidth="1"/>
    <col min="11286" max="11286" width="9.875" style="399" customWidth="1"/>
    <col min="11287" max="11287" width="7.125" style="399" bestFit="1" customWidth="1"/>
    <col min="11288" max="11288" width="9.625" style="399" customWidth="1"/>
    <col min="11289" max="11289" width="8.5" style="399" bestFit="1" customWidth="1"/>
    <col min="11290" max="11290" width="6.75" style="399" customWidth="1"/>
    <col min="11291" max="11291" width="10.625" style="399" customWidth="1"/>
    <col min="11292" max="11292" width="4.5" style="399" customWidth="1"/>
    <col min="11293" max="11293" width="8.75" style="399" customWidth="1"/>
    <col min="11294" max="11521" width="9" style="399"/>
    <col min="11522" max="11522" width="9.875" style="399" customWidth="1"/>
    <col min="11523" max="11523" width="4.5" style="399" customWidth="1"/>
    <col min="11524" max="11524" width="7.125" style="399" bestFit="1" customWidth="1"/>
    <col min="11525" max="11525" width="8.125" style="399" bestFit="1" customWidth="1"/>
    <col min="11526" max="11526" width="19.375" style="399" customWidth="1"/>
    <col min="11527" max="11528" width="13.125" style="399" bestFit="1" customWidth="1"/>
    <col min="11529" max="11529" width="16.25" style="399" bestFit="1" customWidth="1"/>
    <col min="11530" max="11530" width="7.375" style="399" bestFit="1" customWidth="1"/>
    <col min="11531" max="11531" width="6.375" style="399" bestFit="1" customWidth="1"/>
    <col min="11532" max="11532" width="22.875" style="399" customWidth="1"/>
    <col min="11533" max="11533" width="19.5" style="399" customWidth="1"/>
    <col min="11534" max="11535" width="9" style="399" bestFit="1" customWidth="1"/>
    <col min="11536" max="11536" width="15.75" style="399" customWidth="1"/>
    <col min="11537" max="11537" width="9.125" style="399" customWidth="1"/>
    <col min="11538" max="11538" width="14.375" style="399" customWidth="1"/>
    <col min="11539" max="11539" width="9.375" style="399" customWidth="1"/>
    <col min="11540" max="11540" width="8.875" style="399" customWidth="1"/>
    <col min="11541" max="11541" width="7.125" style="399" bestFit="1" customWidth="1"/>
    <col min="11542" max="11542" width="9.875" style="399" customWidth="1"/>
    <col min="11543" max="11543" width="7.125" style="399" bestFit="1" customWidth="1"/>
    <col min="11544" max="11544" width="9.625" style="399" customWidth="1"/>
    <col min="11545" max="11545" width="8.5" style="399" bestFit="1" customWidth="1"/>
    <col min="11546" max="11546" width="6.75" style="399" customWidth="1"/>
    <col min="11547" max="11547" width="10.625" style="399" customWidth="1"/>
    <col min="11548" max="11548" width="4.5" style="399" customWidth="1"/>
    <col min="11549" max="11549" width="8.75" style="399" customWidth="1"/>
    <col min="11550" max="11777" width="9" style="399"/>
    <col min="11778" max="11778" width="9.875" style="399" customWidth="1"/>
    <col min="11779" max="11779" width="4.5" style="399" customWidth="1"/>
    <col min="11780" max="11780" width="7.125" style="399" bestFit="1" customWidth="1"/>
    <col min="11781" max="11781" width="8.125" style="399" bestFit="1" customWidth="1"/>
    <col min="11782" max="11782" width="19.375" style="399" customWidth="1"/>
    <col min="11783" max="11784" width="13.125" style="399" bestFit="1" customWidth="1"/>
    <col min="11785" max="11785" width="16.25" style="399" bestFit="1" customWidth="1"/>
    <col min="11786" max="11786" width="7.375" style="399" bestFit="1" customWidth="1"/>
    <col min="11787" max="11787" width="6.375" style="399" bestFit="1" customWidth="1"/>
    <col min="11788" max="11788" width="22.875" style="399" customWidth="1"/>
    <col min="11789" max="11789" width="19.5" style="399" customWidth="1"/>
    <col min="11790" max="11791" width="9" style="399" bestFit="1" customWidth="1"/>
    <col min="11792" max="11792" width="15.75" style="399" customWidth="1"/>
    <col min="11793" max="11793" width="9.125" style="399" customWidth="1"/>
    <col min="11794" max="11794" width="14.375" style="399" customWidth="1"/>
    <col min="11795" max="11795" width="9.375" style="399" customWidth="1"/>
    <col min="11796" max="11796" width="8.875" style="399" customWidth="1"/>
    <col min="11797" max="11797" width="7.125" style="399" bestFit="1" customWidth="1"/>
    <col min="11798" max="11798" width="9.875" style="399" customWidth="1"/>
    <col min="11799" max="11799" width="7.125" style="399" bestFit="1" customWidth="1"/>
    <col min="11800" max="11800" width="9.625" style="399" customWidth="1"/>
    <col min="11801" max="11801" width="8.5" style="399" bestFit="1" customWidth="1"/>
    <col min="11802" max="11802" width="6.75" style="399" customWidth="1"/>
    <col min="11803" max="11803" width="10.625" style="399" customWidth="1"/>
    <col min="11804" max="11804" width="4.5" style="399" customWidth="1"/>
    <col min="11805" max="11805" width="8.75" style="399" customWidth="1"/>
    <col min="11806" max="12033" width="9" style="399"/>
    <col min="12034" max="12034" width="9.875" style="399" customWidth="1"/>
    <col min="12035" max="12035" width="4.5" style="399" customWidth="1"/>
    <col min="12036" max="12036" width="7.125" style="399" bestFit="1" customWidth="1"/>
    <col min="12037" max="12037" width="8.125" style="399" bestFit="1" customWidth="1"/>
    <col min="12038" max="12038" width="19.375" style="399" customWidth="1"/>
    <col min="12039" max="12040" width="13.125" style="399" bestFit="1" customWidth="1"/>
    <col min="12041" max="12041" width="16.25" style="399" bestFit="1" customWidth="1"/>
    <col min="12042" max="12042" width="7.375" style="399" bestFit="1" customWidth="1"/>
    <col min="12043" max="12043" width="6.375" style="399" bestFit="1" customWidth="1"/>
    <col min="12044" max="12044" width="22.875" style="399" customWidth="1"/>
    <col min="12045" max="12045" width="19.5" style="399" customWidth="1"/>
    <col min="12046" max="12047" width="9" style="399" bestFit="1" customWidth="1"/>
    <col min="12048" max="12048" width="15.75" style="399" customWidth="1"/>
    <col min="12049" max="12049" width="9.125" style="399" customWidth="1"/>
    <col min="12050" max="12050" width="14.375" style="399" customWidth="1"/>
    <col min="12051" max="12051" width="9.375" style="399" customWidth="1"/>
    <col min="12052" max="12052" width="8.875" style="399" customWidth="1"/>
    <col min="12053" max="12053" width="7.125" style="399" bestFit="1" customWidth="1"/>
    <col min="12054" max="12054" width="9.875" style="399" customWidth="1"/>
    <col min="12055" max="12055" width="7.125" style="399" bestFit="1" customWidth="1"/>
    <col min="12056" max="12056" width="9.625" style="399" customWidth="1"/>
    <col min="12057" max="12057" width="8.5" style="399" bestFit="1" customWidth="1"/>
    <col min="12058" max="12058" width="6.75" style="399" customWidth="1"/>
    <col min="12059" max="12059" width="10.625" style="399" customWidth="1"/>
    <col min="12060" max="12060" width="4.5" style="399" customWidth="1"/>
    <col min="12061" max="12061" width="8.75" style="399" customWidth="1"/>
    <col min="12062" max="12289" width="9" style="399"/>
    <col min="12290" max="12290" width="9.875" style="399" customWidth="1"/>
    <col min="12291" max="12291" width="4.5" style="399" customWidth="1"/>
    <col min="12292" max="12292" width="7.125" style="399" bestFit="1" customWidth="1"/>
    <col min="12293" max="12293" width="8.125" style="399" bestFit="1" customWidth="1"/>
    <col min="12294" max="12294" width="19.375" style="399" customWidth="1"/>
    <col min="12295" max="12296" width="13.125" style="399" bestFit="1" customWidth="1"/>
    <col min="12297" max="12297" width="16.25" style="399" bestFit="1" customWidth="1"/>
    <col min="12298" max="12298" width="7.375" style="399" bestFit="1" customWidth="1"/>
    <col min="12299" max="12299" width="6.375" style="399" bestFit="1" customWidth="1"/>
    <col min="12300" max="12300" width="22.875" style="399" customWidth="1"/>
    <col min="12301" max="12301" width="19.5" style="399" customWidth="1"/>
    <col min="12302" max="12303" width="9" style="399" bestFit="1" customWidth="1"/>
    <col min="12304" max="12304" width="15.75" style="399" customWidth="1"/>
    <col min="12305" max="12305" width="9.125" style="399" customWidth="1"/>
    <col min="12306" max="12306" width="14.375" style="399" customWidth="1"/>
    <col min="12307" max="12307" width="9.375" style="399" customWidth="1"/>
    <col min="12308" max="12308" width="8.875" style="399" customWidth="1"/>
    <col min="12309" max="12309" width="7.125" style="399" bestFit="1" customWidth="1"/>
    <col min="12310" max="12310" width="9.875" style="399" customWidth="1"/>
    <col min="12311" max="12311" width="7.125" style="399" bestFit="1" customWidth="1"/>
    <col min="12312" max="12312" width="9.625" style="399" customWidth="1"/>
    <col min="12313" max="12313" width="8.5" style="399" bestFit="1" customWidth="1"/>
    <col min="12314" max="12314" width="6.75" style="399" customWidth="1"/>
    <col min="12315" max="12315" width="10.625" style="399" customWidth="1"/>
    <col min="12316" max="12316" width="4.5" style="399" customWidth="1"/>
    <col min="12317" max="12317" width="8.75" style="399" customWidth="1"/>
    <col min="12318" max="12545" width="9" style="399"/>
    <col min="12546" max="12546" width="9.875" style="399" customWidth="1"/>
    <col min="12547" max="12547" width="4.5" style="399" customWidth="1"/>
    <col min="12548" max="12548" width="7.125" style="399" bestFit="1" customWidth="1"/>
    <col min="12549" max="12549" width="8.125" style="399" bestFit="1" customWidth="1"/>
    <col min="12550" max="12550" width="19.375" style="399" customWidth="1"/>
    <col min="12551" max="12552" width="13.125" style="399" bestFit="1" customWidth="1"/>
    <col min="12553" max="12553" width="16.25" style="399" bestFit="1" customWidth="1"/>
    <col min="12554" max="12554" width="7.375" style="399" bestFit="1" customWidth="1"/>
    <col min="12555" max="12555" width="6.375" style="399" bestFit="1" customWidth="1"/>
    <col min="12556" max="12556" width="22.875" style="399" customWidth="1"/>
    <col min="12557" max="12557" width="19.5" style="399" customWidth="1"/>
    <col min="12558" max="12559" width="9" style="399" bestFit="1" customWidth="1"/>
    <col min="12560" max="12560" width="15.75" style="399" customWidth="1"/>
    <col min="12561" max="12561" width="9.125" style="399" customWidth="1"/>
    <col min="12562" max="12562" width="14.375" style="399" customWidth="1"/>
    <col min="12563" max="12563" width="9.375" style="399" customWidth="1"/>
    <col min="12564" max="12564" width="8.875" style="399" customWidth="1"/>
    <col min="12565" max="12565" width="7.125" style="399" bestFit="1" customWidth="1"/>
    <col min="12566" max="12566" width="9.875" style="399" customWidth="1"/>
    <col min="12567" max="12567" width="7.125" style="399" bestFit="1" customWidth="1"/>
    <col min="12568" max="12568" width="9.625" style="399" customWidth="1"/>
    <col min="12569" max="12569" width="8.5" style="399" bestFit="1" customWidth="1"/>
    <col min="12570" max="12570" width="6.75" style="399" customWidth="1"/>
    <col min="12571" max="12571" width="10.625" style="399" customWidth="1"/>
    <col min="12572" max="12572" width="4.5" style="399" customWidth="1"/>
    <col min="12573" max="12573" width="8.75" style="399" customWidth="1"/>
    <col min="12574" max="12801" width="9" style="399"/>
    <col min="12802" max="12802" width="9.875" style="399" customWidth="1"/>
    <col min="12803" max="12803" width="4.5" style="399" customWidth="1"/>
    <col min="12804" max="12804" width="7.125" style="399" bestFit="1" customWidth="1"/>
    <col min="12805" max="12805" width="8.125" style="399" bestFit="1" customWidth="1"/>
    <col min="12806" max="12806" width="19.375" style="399" customWidth="1"/>
    <col min="12807" max="12808" width="13.125" style="399" bestFit="1" customWidth="1"/>
    <col min="12809" max="12809" width="16.25" style="399" bestFit="1" customWidth="1"/>
    <col min="12810" max="12810" width="7.375" style="399" bestFit="1" customWidth="1"/>
    <col min="12811" max="12811" width="6.375" style="399" bestFit="1" customWidth="1"/>
    <col min="12812" max="12812" width="22.875" style="399" customWidth="1"/>
    <col min="12813" max="12813" width="19.5" style="399" customWidth="1"/>
    <col min="12814" max="12815" width="9" style="399" bestFit="1" customWidth="1"/>
    <col min="12816" max="12816" width="15.75" style="399" customWidth="1"/>
    <col min="12817" max="12817" width="9.125" style="399" customWidth="1"/>
    <col min="12818" max="12818" width="14.375" style="399" customWidth="1"/>
    <col min="12819" max="12819" width="9.375" style="399" customWidth="1"/>
    <col min="12820" max="12820" width="8.875" style="399" customWidth="1"/>
    <col min="12821" max="12821" width="7.125" style="399" bestFit="1" customWidth="1"/>
    <col min="12822" max="12822" width="9.875" style="399" customWidth="1"/>
    <col min="12823" max="12823" width="7.125" style="399" bestFit="1" customWidth="1"/>
    <col min="12824" max="12824" width="9.625" style="399" customWidth="1"/>
    <col min="12825" max="12825" width="8.5" style="399" bestFit="1" customWidth="1"/>
    <col min="12826" max="12826" width="6.75" style="399" customWidth="1"/>
    <col min="12827" max="12827" width="10.625" style="399" customWidth="1"/>
    <col min="12828" max="12828" width="4.5" style="399" customWidth="1"/>
    <col min="12829" max="12829" width="8.75" style="399" customWidth="1"/>
    <col min="12830" max="13057" width="9" style="399"/>
    <col min="13058" max="13058" width="9.875" style="399" customWidth="1"/>
    <col min="13059" max="13059" width="4.5" style="399" customWidth="1"/>
    <col min="13060" max="13060" width="7.125" style="399" bestFit="1" customWidth="1"/>
    <col min="13061" max="13061" width="8.125" style="399" bestFit="1" customWidth="1"/>
    <col min="13062" max="13062" width="19.375" style="399" customWidth="1"/>
    <col min="13063" max="13064" width="13.125" style="399" bestFit="1" customWidth="1"/>
    <col min="13065" max="13065" width="16.25" style="399" bestFit="1" customWidth="1"/>
    <col min="13066" max="13066" width="7.375" style="399" bestFit="1" customWidth="1"/>
    <col min="13067" max="13067" width="6.375" style="399" bestFit="1" customWidth="1"/>
    <col min="13068" max="13068" width="22.875" style="399" customWidth="1"/>
    <col min="13069" max="13069" width="19.5" style="399" customWidth="1"/>
    <col min="13070" max="13071" width="9" style="399" bestFit="1" customWidth="1"/>
    <col min="13072" max="13072" width="15.75" style="399" customWidth="1"/>
    <col min="13073" max="13073" width="9.125" style="399" customWidth="1"/>
    <col min="13074" max="13074" width="14.375" style="399" customWidth="1"/>
    <col min="13075" max="13075" width="9.375" style="399" customWidth="1"/>
    <col min="13076" max="13076" width="8.875" style="399" customWidth="1"/>
    <col min="13077" max="13077" width="7.125" style="399" bestFit="1" customWidth="1"/>
    <col min="13078" max="13078" width="9.875" style="399" customWidth="1"/>
    <col min="13079" max="13079" width="7.125" style="399" bestFit="1" customWidth="1"/>
    <col min="13080" max="13080" width="9.625" style="399" customWidth="1"/>
    <col min="13081" max="13081" width="8.5" style="399" bestFit="1" customWidth="1"/>
    <col min="13082" max="13082" width="6.75" style="399" customWidth="1"/>
    <col min="13083" max="13083" width="10.625" style="399" customWidth="1"/>
    <col min="13084" max="13084" width="4.5" style="399" customWidth="1"/>
    <col min="13085" max="13085" width="8.75" style="399" customWidth="1"/>
    <col min="13086" max="13313" width="9" style="399"/>
    <col min="13314" max="13314" width="9.875" style="399" customWidth="1"/>
    <col min="13315" max="13315" width="4.5" style="399" customWidth="1"/>
    <col min="13316" max="13316" width="7.125" style="399" bestFit="1" customWidth="1"/>
    <col min="13317" max="13317" width="8.125" style="399" bestFit="1" customWidth="1"/>
    <col min="13318" max="13318" width="19.375" style="399" customWidth="1"/>
    <col min="13319" max="13320" width="13.125" style="399" bestFit="1" customWidth="1"/>
    <col min="13321" max="13321" width="16.25" style="399" bestFit="1" customWidth="1"/>
    <col min="13322" max="13322" width="7.375" style="399" bestFit="1" customWidth="1"/>
    <col min="13323" max="13323" width="6.375" style="399" bestFit="1" customWidth="1"/>
    <col min="13324" max="13324" width="22.875" style="399" customWidth="1"/>
    <col min="13325" max="13325" width="19.5" style="399" customWidth="1"/>
    <col min="13326" max="13327" width="9" style="399" bestFit="1" customWidth="1"/>
    <col min="13328" max="13328" width="15.75" style="399" customWidth="1"/>
    <col min="13329" max="13329" width="9.125" style="399" customWidth="1"/>
    <col min="13330" max="13330" width="14.375" style="399" customWidth="1"/>
    <col min="13331" max="13331" width="9.375" style="399" customWidth="1"/>
    <col min="13332" max="13332" width="8.875" style="399" customWidth="1"/>
    <col min="13333" max="13333" width="7.125" style="399" bestFit="1" customWidth="1"/>
    <col min="13334" max="13334" width="9.875" style="399" customWidth="1"/>
    <col min="13335" max="13335" width="7.125" style="399" bestFit="1" customWidth="1"/>
    <col min="13336" max="13336" width="9.625" style="399" customWidth="1"/>
    <col min="13337" max="13337" width="8.5" style="399" bestFit="1" customWidth="1"/>
    <col min="13338" max="13338" width="6.75" style="399" customWidth="1"/>
    <col min="13339" max="13339" width="10.625" style="399" customWidth="1"/>
    <col min="13340" max="13340" width="4.5" style="399" customWidth="1"/>
    <col min="13341" max="13341" width="8.75" style="399" customWidth="1"/>
    <col min="13342" max="13569" width="9" style="399"/>
    <col min="13570" max="13570" width="9.875" style="399" customWidth="1"/>
    <col min="13571" max="13571" width="4.5" style="399" customWidth="1"/>
    <col min="13572" max="13572" width="7.125" style="399" bestFit="1" customWidth="1"/>
    <col min="13573" max="13573" width="8.125" style="399" bestFit="1" customWidth="1"/>
    <col min="13574" max="13574" width="19.375" style="399" customWidth="1"/>
    <col min="13575" max="13576" width="13.125" style="399" bestFit="1" customWidth="1"/>
    <col min="13577" max="13577" width="16.25" style="399" bestFit="1" customWidth="1"/>
    <col min="13578" max="13578" width="7.375" style="399" bestFit="1" customWidth="1"/>
    <col min="13579" max="13579" width="6.375" style="399" bestFit="1" customWidth="1"/>
    <col min="13580" max="13580" width="22.875" style="399" customWidth="1"/>
    <col min="13581" max="13581" width="19.5" style="399" customWidth="1"/>
    <col min="13582" max="13583" width="9" style="399" bestFit="1" customWidth="1"/>
    <col min="13584" max="13584" width="15.75" style="399" customWidth="1"/>
    <col min="13585" max="13585" width="9.125" style="399" customWidth="1"/>
    <col min="13586" max="13586" width="14.375" style="399" customWidth="1"/>
    <col min="13587" max="13587" width="9.375" style="399" customWidth="1"/>
    <col min="13588" max="13588" width="8.875" style="399" customWidth="1"/>
    <col min="13589" max="13589" width="7.125" style="399" bestFit="1" customWidth="1"/>
    <col min="13590" max="13590" width="9.875" style="399" customWidth="1"/>
    <col min="13591" max="13591" width="7.125" style="399" bestFit="1" customWidth="1"/>
    <col min="13592" max="13592" width="9.625" style="399" customWidth="1"/>
    <col min="13593" max="13593" width="8.5" style="399" bestFit="1" customWidth="1"/>
    <col min="13594" max="13594" width="6.75" style="399" customWidth="1"/>
    <col min="13595" max="13595" width="10.625" style="399" customWidth="1"/>
    <col min="13596" max="13596" width="4.5" style="399" customWidth="1"/>
    <col min="13597" max="13597" width="8.75" style="399" customWidth="1"/>
    <col min="13598" max="13825" width="9" style="399"/>
    <col min="13826" max="13826" width="9.875" style="399" customWidth="1"/>
    <col min="13827" max="13827" width="4.5" style="399" customWidth="1"/>
    <col min="13828" max="13828" width="7.125" style="399" bestFit="1" customWidth="1"/>
    <col min="13829" max="13829" width="8.125" style="399" bestFit="1" customWidth="1"/>
    <col min="13830" max="13830" width="19.375" style="399" customWidth="1"/>
    <col min="13831" max="13832" width="13.125" style="399" bestFit="1" customWidth="1"/>
    <col min="13833" max="13833" width="16.25" style="399" bestFit="1" customWidth="1"/>
    <col min="13834" max="13834" width="7.375" style="399" bestFit="1" customWidth="1"/>
    <col min="13835" max="13835" width="6.375" style="399" bestFit="1" customWidth="1"/>
    <col min="13836" max="13836" width="22.875" style="399" customWidth="1"/>
    <col min="13837" max="13837" width="19.5" style="399" customWidth="1"/>
    <col min="13838" max="13839" width="9" style="399" bestFit="1" customWidth="1"/>
    <col min="13840" max="13840" width="15.75" style="399" customWidth="1"/>
    <col min="13841" max="13841" width="9.125" style="399" customWidth="1"/>
    <col min="13842" max="13842" width="14.375" style="399" customWidth="1"/>
    <col min="13843" max="13843" width="9.375" style="399" customWidth="1"/>
    <col min="13844" max="13844" width="8.875" style="399" customWidth="1"/>
    <col min="13845" max="13845" width="7.125" style="399" bestFit="1" customWidth="1"/>
    <col min="13846" max="13846" width="9.875" style="399" customWidth="1"/>
    <col min="13847" max="13847" width="7.125" style="399" bestFit="1" customWidth="1"/>
    <col min="13848" max="13848" width="9.625" style="399" customWidth="1"/>
    <col min="13849" max="13849" width="8.5" style="399" bestFit="1" customWidth="1"/>
    <col min="13850" max="13850" width="6.75" style="399" customWidth="1"/>
    <col min="13851" max="13851" width="10.625" style="399" customWidth="1"/>
    <col min="13852" max="13852" width="4.5" style="399" customWidth="1"/>
    <col min="13853" max="13853" width="8.75" style="399" customWidth="1"/>
    <col min="13854" max="14081" width="9" style="399"/>
    <col min="14082" max="14082" width="9.875" style="399" customWidth="1"/>
    <col min="14083" max="14083" width="4.5" style="399" customWidth="1"/>
    <col min="14084" max="14084" width="7.125" style="399" bestFit="1" customWidth="1"/>
    <col min="14085" max="14085" width="8.125" style="399" bestFit="1" customWidth="1"/>
    <col min="14086" max="14086" width="19.375" style="399" customWidth="1"/>
    <col min="14087" max="14088" width="13.125" style="399" bestFit="1" customWidth="1"/>
    <col min="14089" max="14089" width="16.25" style="399" bestFit="1" customWidth="1"/>
    <col min="14090" max="14090" width="7.375" style="399" bestFit="1" customWidth="1"/>
    <col min="14091" max="14091" width="6.375" style="399" bestFit="1" customWidth="1"/>
    <col min="14092" max="14092" width="22.875" style="399" customWidth="1"/>
    <col min="14093" max="14093" width="19.5" style="399" customWidth="1"/>
    <col min="14094" max="14095" width="9" style="399" bestFit="1" customWidth="1"/>
    <col min="14096" max="14096" width="15.75" style="399" customWidth="1"/>
    <col min="14097" max="14097" width="9.125" style="399" customWidth="1"/>
    <col min="14098" max="14098" width="14.375" style="399" customWidth="1"/>
    <col min="14099" max="14099" width="9.375" style="399" customWidth="1"/>
    <col min="14100" max="14100" width="8.875" style="399" customWidth="1"/>
    <col min="14101" max="14101" width="7.125" style="399" bestFit="1" customWidth="1"/>
    <col min="14102" max="14102" width="9.875" style="399" customWidth="1"/>
    <col min="14103" max="14103" width="7.125" style="399" bestFit="1" customWidth="1"/>
    <col min="14104" max="14104" width="9.625" style="399" customWidth="1"/>
    <col min="14105" max="14105" width="8.5" style="399" bestFit="1" customWidth="1"/>
    <col min="14106" max="14106" width="6.75" style="399" customWidth="1"/>
    <col min="14107" max="14107" width="10.625" style="399" customWidth="1"/>
    <col min="14108" max="14108" width="4.5" style="399" customWidth="1"/>
    <col min="14109" max="14109" width="8.75" style="399" customWidth="1"/>
    <col min="14110" max="14337" width="9" style="399"/>
    <col min="14338" max="14338" width="9.875" style="399" customWidth="1"/>
    <col min="14339" max="14339" width="4.5" style="399" customWidth="1"/>
    <col min="14340" max="14340" width="7.125" style="399" bestFit="1" customWidth="1"/>
    <col min="14341" max="14341" width="8.125" style="399" bestFit="1" customWidth="1"/>
    <col min="14342" max="14342" width="19.375" style="399" customWidth="1"/>
    <col min="14343" max="14344" width="13.125" style="399" bestFit="1" customWidth="1"/>
    <col min="14345" max="14345" width="16.25" style="399" bestFit="1" customWidth="1"/>
    <col min="14346" max="14346" width="7.375" style="399" bestFit="1" customWidth="1"/>
    <col min="14347" max="14347" width="6.375" style="399" bestFit="1" customWidth="1"/>
    <col min="14348" max="14348" width="22.875" style="399" customWidth="1"/>
    <col min="14349" max="14349" width="19.5" style="399" customWidth="1"/>
    <col min="14350" max="14351" width="9" style="399" bestFit="1" customWidth="1"/>
    <col min="14352" max="14352" width="15.75" style="399" customWidth="1"/>
    <col min="14353" max="14353" width="9.125" style="399" customWidth="1"/>
    <col min="14354" max="14354" width="14.375" style="399" customWidth="1"/>
    <col min="14355" max="14355" width="9.375" style="399" customWidth="1"/>
    <col min="14356" max="14356" width="8.875" style="399" customWidth="1"/>
    <col min="14357" max="14357" width="7.125" style="399" bestFit="1" customWidth="1"/>
    <col min="14358" max="14358" width="9.875" style="399" customWidth="1"/>
    <col min="14359" max="14359" width="7.125" style="399" bestFit="1" customWidth="1"/>
    <col min="14360" max="14360" width="9.625" style="399" customWidth="1"/>
    <col min="14361" max="14361" width="8.5" style="399" bestFit="1" customWidth="1"/>
    <col min="14362" max="14362" width="6.75" style="399" customWidth="1"/>
    <col min="14363" max="14363" width="10.625" style="399" customWidth="1"/>
    <col min="14364" max="14364" width="4.5" style="399" customWidth="1"/>
    <col min="14365" max="14365" width="8.75" style="399" customWidth="1"/>
    <col min="14366" max="14593" width="9" style="399"/>
    <col min="14594" max="14594" width="9.875" style="399" customWidth="1"/>
    <col min="14595" max="14595" width="4.5" style="399" customWidth="1"/>
    <col min="14596" max="14596" width="7.125" style="399" bestFit="1" customWidth="1"/>
    <col min="14597" max="14597" width="8.125" style="399" bestFit="1" customWidth="1"/>
    <col min="14598" max="14598" width="19.375" style="399" customWidth="1"/>
    <col min="14599" max="14600" width="13.125" style="399" bestFit="1" customWidth="1"/>
    <col min="14601" max="14601" width="16.25" style="399" bestFit="1" customWidth="1"/>
    <col min="14602" max="14602" width="7.375" style="399" bestFit="1" customWidth="1"/>
    <col min="14603" max="14603" width="6.375" style="399" bestFit="1" customWidth="1"/>
    <col min="14604" max="14604" width="22.875" style="399" customWidth="1"/>
    <col min="14605" max="14605" width="19.5" style="399" customWidth="1"/>
    <col min="14606" max="14607" width="9" style="399" bestFit="1" customWidth="1"/>
    <col min="14608" max="14608" width="15.75" style="399" customWidth="1"/>
    <col min="14609" max="14609" width="9.125" style="399" customWidth="1"/>
    <col min="14610" max="14610" width="14.375" style="399" customWidth="1"/>
    <col min="14611" max="14611" width="9.375" style="399" customWidth="1"/>
    <col min="14612" max="14612" width="8.875" style="399" customWidth="1"/>
    <col min="14613" max="14613" width="7.125" style="399" bestFit="1" customWidth="1"/>
    <col min="14614" max="14614" width="9.875" style="399" customWidth="1"/>
    <col min="14615" max="14615" width="7.125" style="399" bestFit="1" customWidth="1"/>
    <col min="14616" max="14616" width="9.625" style="399" customWidth="1"/>
    <col min="14617" max="14617" width="8.5" style="399" bestFit="1" customWidth="1"/>
    <col min="14618" max="14618" width="6.75" style="399" customWidth="1"/>
    <col min="14619" max="14619" width="10.625" style="399" customWidth="1"/>
    <col min="14620" max="14620" width="4.5" style="399" customWidth="1"/>
    <col min="14621" max="14621" width="8.75" style="399" customWidth="1"/>
    <col min="14622" max="14849" width="9" style="399"/>
    <col min="14850" max="14850" width="9.875" style="399" customWidth="1"/>
    <col min="14851" max="14851" width="4.5" style="399" customWidth="1"/>
    <col min="14852" max="14852" width="7.125" style="399" bestFit="1" customWidth="1"/>
    <col min="14853" max="14853" width="8.125" style="399" bestFit="1" customWidth="1"/>
    <col min="14854" max="14854" width="19.375" style="399" customWidth="1"/>
    <col min="14855" max="14856" width="13.125" style="399" bestFit="1" customWidth="1"/>
    <col min="14857" max="14857" width="16.25" style="399" bestFit="1" customWidth="1"/>
    <col min="14858" max="14858" width="7.375" style="399" bestFit="1" customWidth="1"/>
    <col min="14859" max="14859" width="6.375" style="399" bestFit="1" customWidth="1"/>
    <col min="14860" max="14860" width="22.875" style="399" customWidth="1"/>
    <col min="14861" max="14861" width="19.5" style="399" customWidth="1"/>
    <col min="14862" max="14863" width="9" style="399" bestFit="1" customWidth="1"/>
    <col min="14864" max="14864" width="15.75" style="399" customWidth="1"/>
    <col min="14865" max="14865" width="9.125" style="399" customWidth="1"/>
    <col min="14866" max="14866" width="14.375" style="399" customWidth="1"/>
    <col min="14867" max="14867" width="9.375" style="399" customWidth="1"/>
    <col min="14868" max="14868" width="8.875" style="399" customWidth="1"/>
    <col min="14869" max="14869" width="7.125" style="399" bestFit="1" customWidth="1"/>
    <col min="14870" max="14870" width="9.875" style="399" customWidth="1"/>
    <col min="14871" max="14871" width="7.125" style="399" bestFit="1" customWidth="1"/>
    <col min="14872" max="14872" width="9.625" style="399" customWidth="1"/>
    <col min="14873" max="14873" width="8.5" style="399" bestFit="1" customWidth="1"/>
    <col min="14874" max="14874" width="6.75" style="399" customWidth="1"/>
    <col min="14875" max="14875" width="10.625" style="399" customWidth="1"/>
    <col min="14876" max="14876" width="4.5" style="399" customWidth="1"/>
    <col min="14877" max="14877" width="8.75" style="399" customWidth="1"/>
    <col min="14878" max="15105" width="9" style="399"/>
    <col min="15106" max="15106" width="9.875" style="399" customWidth="1"/>
    <col min="15107" max="15107" width="4.5" style="399" customWidth="1"/>
    <col min="15108" max="15108" width="7.125" style="399" bestFit="1" customWidth="1"/>
    <col min="15109" max="15109" width="8.125" style="399" bestFit="1" customWidth="1"/>
    <col min="15110" max="15110" width="19.375" style="399" customWidth="1"/>
    <col min="15111" max="15112" width="13.125" style="399" bestFit="1" customWidth="1"/>
    <col min="15113" max="15113" width="16.25" style="399" bestFit="1" customWidth="1"/>
    <col min="15114" max="15114" width="7.375" style="399" bestFit="1" customWidth="1"/>
    <col min="15115" max="15115" width="6.375" style="399" bestFit="1" customWidth="1"/>
    <col min="15116" max="15116" width="22.875" style="399" customWidth="1"/>
    <col min="15117" max="15117" width="19.5" style="399" customWidth="1"/>
    <col min="15118" max="15119" width="9" style="399" bestFit="1" customWidth="1"/>
    <col min="15120" max="15120" width="15.75" style="399" customWidth="1"/>
    <col min="15121" max="15121" width="9.125" style="399" customWidth="1"/>
    <col min="15122" max="15122" width="14.375" style="399" customWidth="1"/>
    <col min="15123" max="15123" width="9.375" style="399" customWidth="1"/>
    <col min="15124" max="15124" width="8.875" style="399" customWidth="1"/>
    <col min="15125" max="15125" width="7.125" style="399" bestFit="1" customWidth="1"/>
    <col min="15126" max="15126" width="9.875" style="399" customWidth="1"/>
    <col min="15127" max="15127" width="7.125" style="399" bestFit="1" customWidth="1"/>
    <col min="15128" max="15128" width="9.625" style="399" customWidth="1"/>
    <col min="15129" max="15129" width="8.5" style="399" bestFit="1" customWidth="1"/>
    <col min="15130" max="15130" width="6.75" style="399" customWidth="1"/>
    <col min="15131" max="15131" width="10.625" style="399" customWidth="1"/>
    <col min="15132" max="15132" width="4.5" style="399" customWidth="1"/>
    <col min="15133" max="15133" width="8.75" style="399" customWidth="1"/>
    <col min="15134" max="15361" width="9" style="399"/>
    <col min="15362" max="15362" width="9.875" style="399" customWidth="1"/>
    <col min="15363" max="15363" width="4.5" style="399" customWidth="1"/>
    <col min="15364" max="15364" width="7.125" style="399" bestFit="1" customWidth="1"/>
    <col min="15365" max="15365" width="8.125" style="399" bestFit="1" customWidth="1"/>
    <col min="15366" max="15366" width="19.375" style="399" customWidth="1"/>
    <col min="15367" max="15368" width="13.125" style="399" bestFit="1" customWidth="1"/>
    <col min="15369" max="15369" width="16.25" style="399" bestFit="1" customWidth="1"/>
    <col min="15370" max="15370" width="7.375" style="399" bestFit="1" customWidth="1"/>
    <col min="15371" max="15371" width="6.375" style="399" bestFit="1" customWidth="1"/>
    <col min="15372" max="15372" width="22.875" style="399" customWidth="1"/>
    <col min="15373" max="15373" width="19.5" style="399" customWidth="1"/>
    <col min="15374" max="15375" width="9" style="399" bestFit="1" customWidth="1"/>
    <col min="15376" max="15376" width="15.75" style="399" customWidth="1"/>
    <col min="15377" max="15377" width="9.125" style="399" customWidth="1"/>
    <col min="15378" max="15378" width="14.375" style="399" customWidth="1"/>
    <col min="15379" max="15379" width="9.375" style="399" customWidth="1"/>
    <col min="15380" max="15380" width="8.875" style="399" customWidth="1"/>
    <col min="15381" max="15381" width="7.125" style="399" bestFit="1" customWidth="1"/>
    <col min="15382" max="15382" width="9.875" style="399" customWidth="1"/>
    <col min="15383" max="15383" width="7.125" style="399" bestFit="1" customWidth="1"/>
    <col min="15384" max="15384" width="9.625" style="399" customWidth="1"/>
    <col min="15385" max="15385" width="8.5" style="399" bestFit="1" customWidth="1"/>
    <col min="15386" max="15386" width="6.75" style="399" customWidth="1"/>
    <col min="15387" max="15387" width="10.625" style="399" customWidth="1"/>
    <col min="15388" max="15388" width="4.5" style="399" customWidth="1"/>
    <col min="15389" max="15389" width="8.75" style="399" customWidth="1"/>
    <col min="15390" max="15617" width="9" style="399"/>
    <col min="15618" max="15618" width="9.875" style="399" customWidth="1"/>
    <col min="15619" max="15619" width="4.5" style="399" customWidth="1"/>
    <col min="15620" max="15620" width="7.125" style="399" bestFit="1" customWidth="1"/>
    <col min="15621" max="15621" width="8.125" style="399" bestFit="1" customWidth="1"/>
    <col min="15622" max="15622" width="19.375" style="399" customWidth="1"/>
    <col min="15623" max="15624" width="13.125" style="399" bestFit="1" customWidth="1"/>
    <col min="15625" max="15625" width="16.25" style="399" bestFit="1" customWidth="1"/>
    <col min="15626" max="15626" width="7.375" style="399" bestFit="1" customWidth="1"/>
    <col min="15627" max="15627" width="6.375" style="399" bestFit="1" customWidth="1"/>
    <col min="15628" max="15628" width="22.875" style="399" customWidth="1"/>
    <col min="15629" max="15629" width="19.5" style="399" customWidth="1"/>
    <col min="15630" max="15631" width="9" style="399" bestFit="1" customWidth="1"/>
    <col min="15632" max="15632" width="15.75" style="399" customWidth="1"/>
    <col min="15633" max="15633" width="9.125" style="399" customWidth="1"/>
    <col min="15634" max="15634" width="14.375" style="399" customWidth="1"/>
    <col min="15635" max="15635" width="9.375" style="399" customWidth="1"/>
    <col min="15636" max="15636" width="8.875" style="399" customWidth="1"/>
    <col min="15637" max="15637" width="7.125" style="399" bestFit="1" customWidth="1"/>
    <col min="15638" max="15638" width="9.875" style="399" customWidth="1"/>
    <col min="15639" max="15639" width="7.125" style="399" bestFit="1" customWidth="1"/>
    <col min="15640" max="15640" width="9.625" style="399" customWidth="1"/>
    <col min="15641" max="15641" width="8.5" style="399" bestFit="1" customWidth="1"/>
    <col min="15642" max="15642" width="6.75" style="399" customWidth="1"/>
    <col min="15643" max="15643" width="10.625" style="399" customWidth="1"/>
    <col min="15644" max="15644" width="4.5" style="399" customWidth="1"/>
    <col min="15645" max="15645" width="8.75" style="399" customWidth="1"/>
    <col min="15646" max="15873" width="9" style="399"/>
    <col min="15874" max="15874" width="9.875" style="399" customWidth="1"/>
    <col min="15875" max="15875" width="4.5" style="399" customWidth="1"/>
    <col min="15876" max="15876" width="7.125" style="399" bestFit="1" customWidth="1"/>
    <col min="15877" max="15877" width="8.125" style="399" bestFit="1" customWidth="1"/>
    <col min="15878" max="15878" width="19.375" style="399" customWidth="1"/>
    <col min="15879" max="15880" width="13.125" style="399" bestFit="1" customWidth="1"/>
    <col min="15881" max="15881" width="16.25" style="399" bestFit="1" customWidth="1"/>
    <col min="15882" max="15882" width="7.375" style="399" bestFit="1" customWidth="1"/>
    <col min="15883" max="15883" width="6.375" style="399" bestFit="1" customWidth="1"/>
    <col min="15884" max="15884" width="22.875" style="399" customWidth="1"/>
    <col min="15885" max="15885" width="19.5" style="399" customWidth="1"/>
    <col min="15886" max="15887" width="9" style="399" bestFit="1" customWidth="1"/>
    <col min="15888" max="15888" width="15.75" style="399" customWidth="1"/>
    <col min="15889" max="15889" width="9.125" style="399" customWidth="1"/>
    <col min="15890" max="15890" width="14.375" style="399" customWidth="1"/>
    <col min="15891" max="15891" width="9.375" style="399" customWidth="1"/>
    <col min="15892" max="15892" width="8.875" style="399" customWidth="1"/>
    <col min="15893" max="15893" width="7.125" style="399" bestFit="1" customWidth="1"/>
    <col min="15894" max="15894" width="9.875" style="399" customWidth="1"/>
    <col min="15895" max="15895" width="7.125" style="399" bestFit="1" customWidth="1"/>
    <col min="15896" max="15896" width="9.625" style="399" customWidth="1"/>
    <col min="15897" max="15897" width="8.5" style="399" bestFit="1" customWidth="1"/>
    <col min="15898" max="15898" width="6.75" style="399" customWidth="1"/>
    <col min="15899" max="15899" width="10.625" style="399" customWidth="1"/>
    <col min="15900" max="15900" width="4.5" style="399" customWidth="1"/>
    <col min="15901" max="15901" width="8.75" style="399" customWidth="1"/>
    <col min="15902" max="16129" width="9" style="399"/>
    <col min="16130" max="16130" width="9.875" style="399" customWidth="1"/>
    <col min="16131" max="16131" width="4.5" style="399" customWidth="1"/>
    <col min="16132" max="16132" width="7.125" style="399" bestFit="1" customWidth="1"/>
    <col min="16133" max="16133" width="8.125" style="399" bestFit="1" customWidth="1"/>
    <col min="16134" max="16134" width="19.375" style="399" customWidth="1"/>
    <col min="16135" max="16136" width="13.125" style="399" bestFit="1" customWidth="1"/>
    <col min="16137" max="16137" width="16.25" style="399" bestFit="1" customWidth="1"/>
    <col min="16138" max="16138" width="7.375" style="399" bestFit="1" customWidth="1"/>
    <col min="16139" max="16139" width="6.375" style="399" bestFit="1" customWidth="1"/>
    <col min="16140" max="16140" width="22.875" style="399" customWidth="1"/>
    <col min="16141" max="16141" width="19.5" style="399" customWidth="1"/>
    <col min="16142" max="16143" width="9" style="399" bestFit="1" customWidth="1"/>
    <col min="16144" max="16144" width="15.75" style="399" customWidth="1"/>
    <col min="16145" max="16145" width="9.125" style="399" customWidth="1"/>
    <col min="16146" max="16146" width="14.375" style="399" customWidth="1"/>
    <col min="16147" max="16147" width="9.375" style="399" customWidth="1"/>
    <col min="16148" max="16148" width="8.875" style="399" customWidth="1"/>
    <col min="16149" max="16149" width="7.125" style="399" bestFit="1" customWidth="1"/>
    <col min="16150" max="16150" width="9.875" style="399" customWidth="1"/>
    <col min="16151" max="16151" width="7.125" style="399" bestFit="1" customWidth="1"/>
    <col min="16152" max="16152" width="9.625" style="399" customWidth="1"/>
    <col min="16153" max="16153" width="8.5" style="399" bestFit="1" customWidth="1"/>
    <col min="16154" max="16154" width="6.75" style="399" customWidth="1"/>
    <col min="16155" max="16155" width="10.625" style="399" customWidth="1"/>
    <col min="16156" max="16156" width="4.5" style="399" customWidth="1"/>
    <col min="16157" max="16157" width="8.75" style="399" customWidth="1"/>
    <col min="16158" max="16384" width="9" style="399"/>
  </cols>
  <sheetData>
    <row r="2" spans="1:12" s="402" customFormat="1" ht="28.5" customHeight="1">
      <c r="A2" s="1171" t="s">
        <v>614</v>
      </c>
      <c r="B2" s="1171"/>
      <c r="C2" s="1171"/>
      <c r="D2" s="1171"/>
      <c r="E2" s="1171"/>
      <c r="F2" s="1171"/>
      <c r="G2" s="399"/>
      <c r="H2" s="400"/>
      <c r="I2" s="400"/>
      <c r="J2" s="399"/>
      <c r="K2" s="401"/>
    </row>
    <row r="3" spans="1:12" s="402" customFormat="1" ht="28.5" customHeight="1">
      <c r="A3" s="560"/>
      <c r="B3" s="560"/>
      <c r="C3" s="560"/>
      <c r="D3" s="560"/>
      <c r="E3" s="560"/>
      <c r="F3" s="560"/>
      <c r="H3" s="403" t="s">
        <v>34</v>
      </c>
      <c r="I3" s="387">
        <f>'자기평가서(2단계-종합기술제안서 정량평가)'!K4</f>
        <v>45972</v>
      </c>
      <c r="K3" s="401"/>
    </row>
    <row r="4" spans="1:12" s="402" customFormat="1" ht="15" customHeight="1">
      <c r="A4" s="399"/>
      <c r="B4" s="399"/>
      <c r="C4" s="399"/>
      <c r="D4" s="399"/>
      <c r="H4" s="404" t="s">
        <v>137</v>
      </c>
      <c r="I4" s="387">
        <f>I3-365*3-1</f>
        <v>44876</v>
      </c>
      <c r="K4" s="401"/>
    </row>
    <row r="5" spans="1:12" s="402" customFormat="1" ht="15" customHeight="1">
      <c r="A5" s="399"/>
      <c r="B5" s="399"/>
      <c r="C5" s="399"/>
      <c r="D5" s="399"/>
      <c r="E5" s="406"/>
      <c r="F5" s="405"/>
      <c r="H5" s="404" t="s">
        <v>138</v>
      </c>
      <c r="I5" s="387">
        <f>I3-1</f>
        <v>45971</v>
      </c>
      <c r="K5" s="401"/>
    </row>
    <row r="6" spans="1:12" customFormat="1" ht="15" customHeight="1"/>
    <row r="7" spans="1:12" s="408" customFormat="1" ht="15" customHeight="1">
      <c r="A7" s="1213" t="s">
        <v>230</v>
      </c>
      <c r="B7" s="1214"/>
      <c r="C7" s="1215"/>
      <c r="D7" s="1205" t="s">
        <v>266</v>
      </c>
      <c r="E7" s="1191" t="s">
        <v>267</v>
      </c>
      <c r="F7" s="1194" t="s">
        <v>268</v>
      </c>
      <c r="G7" s="1206"/>
      <c r="H7" s="407" t="s">
        <v>269</v>
      </c>
      <c r="I7" s="407" t="s">
        <v>419</v>
      </c>
      <c r="J7" s="1205" t="s">
        <v>270</v>
      </c>
      <c r="L7" s="409"/>
    </row>
    <row r="8" spans="1:12" s="408" customFormat="1" ht="15" customHeight="1">
      <c r="A8" s="1216"/>
      <c r="B8" s="1217"/>
      <c r="C8" s="1218"/>
      <c r="D8" s="1192"/>
      <c r="E8" s="1192"/>
      <c r="F8" s="410" t="s">
        <v>231</v>
      </c>
      <c r="G8" s="410" t="s">
        <v>232</v>
      </c>
      <c r="H8" s="411" t="s">
        <v>271</v>
      </c>
      <c r="I8" s="411"/>
      <c r="J8" s="1192"/>
      <c r="L8" s="409"/>
    </row>
    <row r="9" spans="1:12" s="408" customFormat="1" ht="15" customHeight="1">
      <c r="A9" s="1196" t="s">
        <v>272</v>
      </c>
      <c r="B9" s="1197"/>
      <c r="C9" s="1198"/>
      <c r="D9" s="1191" t="str">
        <f>'3-1 참여기술인(등급)'!D8</f>
        <v>홍길동</v>
      </c>
      <c r="E9" s="412" t="s">
        <v>531</v>
      </c>
      <c r="F9" s="413">
        <v>45650</v>
      </c>
      <c r="G9" s="413">
        <v>45741</v>
      </c>
      <c r="H9" s="414">
        <f>IF(D9="",0,IF(AND($I$4&lt;=G9,G9&lt;=$I$5),1,0))</f>
        <v>1</v>
      </c>
      <c r="I9" s="415">
        <f>ROUNDDOWN((G9-F9)/4,0)</f>
        <v>22</v>
      </c>
      <c r="J9" s="1191">
        <f>IF(D9="","",IF((I9+I10)&gt;=2,0.2,IF(AND((I9+I10)&gt;=1),0.12,0)))</f>
        <v>0.2</v>
      </c>
      <c r="L9" s="409"/>
    </row>
    <row r="10" spans="1:12" s="408" customFormat="1" ht="15" customHeight="1">
      <c r="A10" s="1202"/>
      <c r="B10" s="1203"/>
      <c r="C10" s="1204"/>
      <c r="D10" s="1193"/>
      <c r="E10" s="412" t="s">
        <v>531</v>
      </c>
      <c r="F10" s="413">
        <v>45650</v>
      </c>
      <c r="G10" s="413">
        <v>45664</v>
      </c>
      <c r="H10" s="414">
        <f>IF(D9="",0,IF(AND($I$4&lt;=G10,G10&lt;=$I$5),1,0))</f>
        <v>1</v>
      </c>
      <c r="I10" s="415">
        <f>ROUNDDOWN((G10-F10)/4,0)</f>
        <v>3</v>
      </c>
      <c r="J10" s="1193"/>
      <c r="L10" s="409"/>
    </row>
    <row r="11" spans="1:12" s="408" customFormat="1" ht="15" customHeight="1">
      <c r="A11" s="1219" t="s">
        <v>80</v>
      </c>
      <c r="B11" s="1220"/>
      <c r="C11" s="1220"/>
      <c r="D11" s="1220"/>
      <c r="E11" s="1220"/>
      <c r="F11" s="1220"/>
      <c r="G11" s="1220"/>
      <c r="H11" s="1221"/>
      <c r="I11" s="416"/>
      <c r="J11" s="417">
        <f>J9</f>
        <v>0.2</v>
      </c>
      <c r="L11" s="409"/>
    </row>
    <row r="12" spans="1:12" s="408" customFormat="1" ht="15" customHeight="1">
      <c r="A12" s="1196" t="s">
        <v>56</v>
      </c>
      <c r="B12" s="1207" t="s">
        <v>192</v>
      </c>
      <c r="C12" s="1207" t="str">
        <f>'3-1 참여기술인(등급)'!B12</f>
        <v>토목1</v>
      </c>
      <c r="D12" s="1208" t="str">
        <f>IF('3-1 참여기술인(등급)'!D12="","",'3-1 참여기술인(등급)'!D12)</f>
        <v>백철수</v>
      </c>
      <c r="E12" s="412" t="s">
        <v>531</v>
      </c>
      <c r="F12" s="413">
        <v>45344</v>
      </c>
      <c r="G12" s="413">
        <v>45348</v>
      </c>
      <c r="H12" s="419">
        <f>IF(D12="",0,IF(AND($I$4&lt;=G12,G12&lt;=$I$5),1,0))</f>
        <v>1</v>
      </c>
      <c r="I12" s="415">
        <f t="shared" ref="I12:I19" si="0">ROUNDDOWN((G12-F12)/4,0)</f>
        <v>1</v>
      </c>
      <c r="J12" s="1208">
        <f>IF(D12="","",IF((I12+I13)&gt;=2,0.4,IF(AND((I12+I13)&gt;=1),0.2,0)))</f>
        <v>0.4</v>
      </c>
      <c r="L12" s="409"/>
    </row>
    <row r="13" spans="1:12" s="408" customFormat="1" ht="15" customHeight="1">
      <c r="A13" s="1199"/>
      <c r="B13" s="1207"/>
      <c r="C13" s="1207"/>
      <c r="D13" s="1208"/>
      <c r="E13" s="412" t="s">
        <v>531</v>
      </c>
      <c r="F13" s="413">
        <v>45237</v>
      </c>
      <c r="G13" s="413">
        <v>45261</v>
      </c>
      <c r="H13" s="419">
        <f>IF(D12="",0,IF(AND($I$4&lt;=G13,G13&lt;=$I$5),1,0))</f>
        <v>1</v>
      </c>
      <c r="I13" s="415">
        <f t="shared" si="0"/>
        <v>6</v>
      </c>
      <c r="J13" s="1208"/>
      <c r="L13" s="409"/>
    </row>
    <row r="14" spans="1:12" s="408" customFormat="1" ht="15" customHeight="1">
      <c r="A14" s="1199"/>
      <c r="B14" s="1207" t="s">
        <v>408</v>
      </c>
      <c r="C14" s="1207" t="s">
        <v>408</v>
      </c>
      <c r="D14" s="1208" t="str">
        <f>'3-1 참여기술인(등급)'!D13</f>
        <v>홍영희</v>
      </c>
      <c r="E14" s="412" t="s">
        <v>531</v>
      </c>
      <c r="F14" s="413">
        <v>45316</v>
      </c>
      <c r="G14" s="413">
        <v>45344</v>
      </c>
      <c r="H14" s="419">
        <f>IF(D14="",0,IF(AND($I$4&lt;=G14,G14&lt;=$I$5),1,0))</f>
        <v>1</v>
      </c>
      <c r="I14" s="415">
        <f t="shared" ref="I14:I15" si="1">ROUNDDOWN((G14-F14)/4,0)</f>
        <v>7</v>
      </c>
      <c r="J14" s="1208">
        <f>IF(D14="","",IF((I14+I15)&gt;=2,0.4,IF(AND((I14+I15)&gt;=1),0.2,0)))</f>
        <v>0.4</v>
      </c>
      <c r="L14" s="409"/>
    </row>
    <row r="15" spans="1:12" s="408" customFormat="1" ht="15" customHeight="1">
      <c r="A15" s="1199"/>
      <c r="B15" s="1207"/>
      <c r="C15" s="1207"/>
      <c r="D15" s="1208"/>
      <c r="E15" s="412" t="s">
        <v>531</v>
      </c>
      <c r="F15" s="413">
        <v>45309</v>
      </c>
      <c r="G15" s="413">
        <v>45315</v>
      </c>
      <c r="H15" s="419">
        <f>IF(D14="",0,IF(AND($I$4&lt;=G15,G15&lt;=$I$5),1,0))</f>
        <v>1</v>
      </c>
      <c r="I15" s="415">
        <f t="shared" si="1"/>
        <v>1</v>
      </c>
      <c r="J15" s="1208"/>
      <c r="L15" s="409"/>
    </row>
    <row r="16" spans="1:12" s="408" customFormat="1" ht="15" hidden="1" customHeight="1">
      <c r="A16" s="1199"/>
      <c r="B16" s="1207" t="s">
        <v>191</v>
      </c>
      <c r="C16" s="1207" t="str">
        <f>'3-1 참여기술인(등급)'!B14</f>
        <v>보조1</v>
      </c>
      <c r="D16" s="1208" t="str">
        <f>IF('3-1 참여기술인(등급)'!D14="","",'3-1 참여기술인(등급)'!D14)</f>
        <v/>
      </c>
      <c r="E16" s="418"/>
      <c r="F16" s="413"/>
      <c r="G16" s="413"/>
      <c r="H16" s="419">
        <f>IF(D16="",0,IF(AND($I$4&lt;=G16,G16&lt;=$I$5),1,0))</f>
        <v>0</v>
      </c>
      <c r="I16" s="415">
        <f t="shared" si="0"/>
        <v>0</v>
      </c>
      <c r="J16" s="1208" t="str">
        <f>IF(D16="","",IF((I16+I17)&gt;=2,1,IF(AND((I16+I17)&gt;=1),0.5,0)))</f>
        <v/>
      </c>
      <c r="L16" s="409"/>
    </row>
    <row r="17" spans="1:12" s="408" customFormat="1" ht="15" hidden="1" customHeight="1">
      <c r="A17" s="1199"/>
      <c r="B17" s="1207"/>
      <c r="C17" s="1207"/>
      <c r="D17" s="1208"/>
      <c r="E17" s="418"/>
      <c r="F17" s="413"/>
      <c r="G17" s="413"/>
      <c r="H17" s="419">
        <f>IF(D16="",0,IF(AND($I$4&lt;=G17,G17&lt;=$I$5),1,0))</f>
        <v>0</v>
      </c>
      <c r="I17" s="415">
        <f t="shared" si="0"/>
        <v>0</v>
      </c>
      <c r="J17" s="1208"/>
      <c r="L17" s="409"/>
    </row>
    <row r="18" spans="1:12" s="408" customFormat="1" ht="15" hidden="1" customHeight="1">
      <c r="A18" s="1199"/>
      <c r="B18" s="1207" t="s">
        <v>192</v>
      </c>
      <c r="C18" s="1207" t="str">
        <f>'3-1 참여기술인(등급)'!B15</f>
        <v>보조1</v>
      </c>
      <c r="D18" s="1208" t="str">
        <f>IF('3-1 참여기술인(등급)'!D15="","",'3-1 참여기술인(등급)'!D15)</f>
        <v/>
      </c>
      <c r="E18" s="418"/>
      <c r="F18" s="413"/>
      <c r="G18" s="413"/>
      <c r="H18" s="419">
        <f>IF(D18="",0,IF(AND($I$4&lt;=G18,G18&lt;=$I$5),1,0))</f>
        <v>0</v>
      </c>
      <c r="I18" s="415">
        <f t="shared" si="0"/>
        <v>0</v>
      </c>
      <c r="J18" s="1208" t="str">
        <f>IF(D18="","",IF((I18+I19)&gt;=2,1,IF(AND((I18+I19)&gt;=1),0.5,0)))</f>
        <v/>
      </c>
      <c r="L18" s="409"/>
    </row>
    <row r="19" spans="1:12" s="408" customFormat="1" ht="15" hidden="1" customHeight="1">
      <c r="A19" s="1199"/>
      <c r="B19" s="1207"/>
      <c r="C19" s="1207"/>
      <c r="D19" s="1208"/>
      <c r="E19" s="418"/>
      <c r="F19" s="413"/>
      <c r="G19" s="413"/>
      <c r="H19" s="419">
        <f>IF(D18="",0,IF(AND($I$4&lt;=G19,G19&lt;=$I$5),1,0))</f>
        <v>0</v>
      </c>
      <c r="I19" s="415">
        <f t="shared" si="0"/>
        <v>0</v>
      </c>
      <c r="J19" s="1208"/>
      <c r="L19" s="409"/>
    </row>
    <row r="20" spans="1:12" s="402" customFormat="1" ht="15" customHeight="1">
      <c r="A20" s="1194" t="s">
        <v>80</v>
      </c>
      <c r="B20" s="1211"/>
      <c r="C20" s="1211"/>
      <c r="D20" s="1211"/>
      <c r="E20" s="1211"/>
      <c r="F20" s="1211"/>
      <c r="G20" s="1211"/>
      <c r="H20" s="1212"/>
      <c r="I20" s="420"/>
      <c r="J20" s="421">
        <f>SUM(J12:J15)/COUNTA(J12:J15)</f>
        <v>0.4</v>
      </c>
      <c r="K20" s="401"/>
    </row>
    <row r="21" spans="1:12" s="402" customFormat="1" ht="15" customHeight="1">
      <c r="A21" s="1196" t="s">
        <v>273</v>
      </c>
      <c r="B21" s="1197"/>
      <c r="C21" s="1207" t="str">
        <f>'3-1 참여기술인(등급)'!A21</f>
        <v>토목</v>
      </c>
      <c r="D21" s="1207" t="str">
        <f>IF('3-1 참여기술인(등급)'!D21="","",'3-1 참여기술인(등급)'!D21)</f>
        <v>김가나다</v>
      </c>
      <c r="E21" s="412" t="s">
        <v>531</v>
      </c>
      <c r="F21" s="413">
        <v>45749</v>
      </c>
      <c r="G21" s="413">
        <v>45786</v>
      </c>
      <c r="H21" s="419">
        <f>IF(D21="",0,IF(AND($I$4&lt;=G21,G21&lt;=$I$5),1,0))</f>
        <v>1</v>
      </c>
      <c r="I21" s="415">
        <f t="shared" ref="I21:I26" si="2">ROUNDDOWN((G21-F21)/4,0)</f>
        <v>9</v>
      </c>
      <c r="J21" s="1208">
        <f>IF(D21="","",IF((I21+I22)&gt;=2,0.4,IF(AND((I21+I22)&gt;=1),0.2,0)))</f>
        <v>0.4</v>
      </c>
      <c r="K21" s="401"/>
    </row>
    <row r="22" spans="1:12" s="402" customFormat="1" ht="15" customHeight="1">
      <c r="A22" s="1199"/>
      <c r="B22" s="1200"/>
      <c r="C22" s="1207"/>
      <c r="D22" s="1207"/>
      <c r="E22" s="412" t="s">
        <v>531</v>
      </c>
      <c r="F22" s="413">
        <v>45625</v>
      </c>
      <c r="G22" s="413">
        <v>45637</v>
      </c>
      <c r="H22" s="419">
        <f>IF(D21="",0,IF(AND($I$4&lt;=G22,G22&lt;=$I$5),1,0))</f>
        <v>1</v>
      </c>
      <c r="I22" s="415">
        <f t="shared" si="2"/>
        <v>3</v>
      </c>
      <c r="J22" s="1208"/>
      <c r="K22" s="401"/>
    </row>
    <row r="23" spans="1:12" s="402" customFormat="1" ht="15" hidden="1" customHeight="1">
      <c r="A23" s="1199"/>
      <c r="B23" s="1200"/>
      <c r="C23" s="1207" t="str">
        <f>'3-1 참여기술인(등급)'!A22</f>
        <v>기계</v>
      </c>
      <c r="D23" s="1207" t="str">
        <f>IF('3-1 참여기술인(등급)'!D22="","",'3-1 참여기술인(등급)'!D22)</f>
        <v/>
      </c>
      <c r="E23" s="412"/>
      <c r="F23" s="413">
        <v>43748</v>
      </c>
      <c r="G23" s="413">
        <v>43762</v>
      </c>
      <c r="H23" s="419">
        <f>IF(D23="",0,IF(AND($I$4&lt;=G23,G23&lt;=$I$5),1,0))</f>
        <v>0</v>
      </c>
      <c r="I23" s="415">
        <f t="shared" si="2"/>
        <v>3</v>
      </c>
      <c r="J23" s="1191">
        <f>IF((H23+H24)&gt;=2,0.5,IF(AND((H23+H24)&gt;=1),0.3,0))</f>
        <v>0</v>
      </c>
      <c r="K23" s="401"/>
    </row>
    <row r="24" spans="1:12" s="402" customFormat="1" ht="15" hidden="1" customHeight="1">
      <c r="A24" s="1199"/>
      <c r="B24" s="1200"/>
      <c r="C24" s="1207"/>
      <c r="D24" s="1207"/>
      <c r="E24" s="412"/>
      <c r="F24" s="413">
        <v>44147</v>
      </c>
      <c r="G24" s="413">
        <v>44148</v>
      </c>
      <c r="H24" s="419">
        <f>IF(D23="",0,IF(AND($I$4&lt;=G24,G24&lt;=$I$5),1,0))</f>
        <v>0</v>
      </c>
      <c r="I24" s="415">
        <f t="shared" si="2"/>
        <v>0</v>
      </c>
      <c r="J24" s="1193"/>
      <c r="K24" s="401"/>
    </row>
    <row r="25" spans="1:12" s="402" customFormat="1" ht="15" hidden="1" customHeight="1">
      <c r="A25" s="1199"/>
      <c r="B25" s="1200"/>
      <c r="C25" s="1207" t="str">
        <f>'3-1 참여기술인(등급)'!A23</f>
        <v>토목</v>
      </c>
      <c r="D25" s="1207" t="str">
        <f>IF('3-1 참여기술인(등급)'!D23="","",'3-1 참여기술인(등급)'!D23)</f>
        <v/>
      </c>
      <c r="E25" s="412"/>
      <c r="F25" s="413">
        <v>43748</v>
      </c>
      <c r="G25" s="413">
        <v>43762</v>
      </c>
      <c r="H25" s="419">
        <f>IF(D25="",0,IF(AND($I$4&lt;=G25,G25&lt;=$I$5),1,0))</f>
        <v>0</v>
      </c>
      <c r="I25" s="415">
        <f t="shared" si="2"/>
        <v>3</v>
      </c>
      <c r="J25" s="1191">
        <f>IF((H25+H26)&gt;=2,0.5,IF(AND((H25+H26)&gt;=1),0.3,0))</f>
        <v>0</v>
      </c>
      <c r="K25" s="401"/>
    </row>
    <row r="26" spans="1:12" s="402" customFormat="1" ht="15" hidden="1" customHeight="1">
      <c r="A26" s="1199"/>
      <c r="B26" s="1200"/>
      <c r="C26" s="1207"/>
      <c r="D26" s="1207"/>
      <c r="E26" s="412"/>
      <c r="F26" s="413">
        <v>44147</v>
      </c>
      <c r="G26" s="413">
        <v>44148</v>
      </c>
      <c r="H26" s="419">
        <f>IF(D25="",0,IF(AND($I$4&lt;=G26,G26&lt;=$I$5),1,0))</f>
        <v>0</v>
      </c>
      <c r="I26" s="415">
        <f t="shared" si="2"/>
        <v>0</v>
      </c>
      <c r="J26" s="1193"/>
      <c r="K26" s="401"/>
    </row>
    <row r="27" spans="1:12" s="402" customFormat="1" ht="15" customHeight="1">
      <c r="A27" s="1194" t="s">
        <v>80</v>
      </c>
      <c r="B27" s="1195"/>
      <c r="C27" s="1195"/>
      <c r="D27" s="1195"/>
      <c r="E27" s="1195"/>
      <c r="F27" s="1195"/>
      <c r="G27" s="1195"/>
      <c r="H27" s="1195"/>
      <c r="I27" s="422"/>
      <c r="J27" s="421">
        <f>SUM(J21:J22)/COUNTA(J21:J22)</f>
        <v>0.4</v>
      </c>
      <c r="K27" s="401"/>
    </row>
    <row r="28" spans="1:12" s="402" customFormat="1" ht="15" customHeight="1">
      <c r="A28" s="399"/>
      <c r="B28" s="399"/>
      <c r="C28" s="399"/>
      <c r="D28" s="399"/>
      <c r="E28" s="399"/>
      <c r="F28" s="399"/>
      <c r="G28" s="399"/>
      <c r="H28" s="400"/>
      <c r="I28" s="400"/>
      <c r="J28" s="399"/>
      <c r="K28" s="401"/>
    </row>
    <row r="29" spans="1:12" s="402" customFormat="1" ht="15.95" customHeight="1">
      <c r="A29" s="1196" t="s">
        <v>274</v>
      </c>
      <c r="B29" s="1197"/>
      <c r="C29" s="1198"/>
      <c r="D29" s="1205" t="s">
        <v>275</v>
      </c>
      <c r="E29" s="1191" t="s">
        <v>276</v>
      </c>
      <c r="F29" s="1194" t="s">
        <v>277</v>
      </c>
      <c r="G29" s="1206"/>
      <c r="H29" s="407" t="s">
        <v>278</v>
      </c>
      <c r="I29" s="1209" t="s">
        <v>419</v>
      </c>
      <c r="J29" s="1191" t="s">
        <v>279</v>
      </c>
      <c r="K29" s="401"/>
    </row>
    <row r="30" spans="1:12" s="402" customFormat="1" ht="15.95" customHeight="1">
      <c r="A30" s="1199"/>
      <c r="B30" s="1200"/>
      <c r="C30" s="1201"/>
      <c r="D30" s="1192"/>
      <c r="E30" s="1192"/>
      <c r="F30" s="410" t="s">
        <v>152</v>
      </c>
      <c r="G30" s="410" t="s">
        <v>153</v>
      </c>
      <c r="H30" s="411" t="s">
        <v>280</v>
      </c>
      <c r="I30" s="1210"/>
      <c r="J30" s="1192"/>
      <c r="K30" s="401"/>
    </row>
    <row r="31" spans="1:12" s="402" customFormat="1" ht="15.95" customHeight="1">
      <c r="A31" s="1202"/>
      <c r="B31" s="1203"/>
      <c r="C31" s="1204"/>
      <c r="D31" s="410" t="str">
        <f>'3-1 참여기술인(등급)'!D28</f>
        <v>홍영희</v>
      </c>
      <c r="E31" s="412" t="s">
        <v>542</v>
      </c>
      <c r="F31" s="413">
        <v>45387</v>
      </c>
      <c r="G31" s="413">
        <v>45390</v>
      </c>
      <c r="H31" s="419">
        <f>IF(D31="",0,IF(AND($I$4&lt;=G31,G31&lt;=$I$5),1,0))</f>
        <v>1</v>
      </c>
      <c r="I31" s="423">
        <f>ROUNDDOWN((G31-F31+1)*8,0)</f>
        <v>32</v>
      </c>
      <c r="J31" s="421" t="str">
        <f>IF(D9="","",IF(I31&gt;=16,"적격","부적격"))</f>
        <v>적격</v>
      </c>
      <c r="K31" s="401"/>
    </row>
    <row r="32" spans="1:12" s="402" customFormat="1" ht="15.95" customHeight="1">
      <c r="A32" s="399"/>
      <c r="B32" s="399"/>
      <c r="C32" s="399"/>
      <c r="D32" s="399"/>
      <c r="E32" s="399"/>
      <c r="F32" s="399"/>
      <c r="G32" s="399"/>
      <c r="H32" s="400"/>
      <c r="I32" s="400"/>
      <c r="J32" s="399"/>
      <c r="K32" s="401"/>
    </row>
    <row r="33" spans="1:20" s="402" customFormat="1" ht="15.95" customHeight="1">
      <c r="A33" s="399"/>
      <c r="B33" s="399"/>
      <c r="C33" s="399"/>
      <c r="D33" s="399"/>
      <c r="E33" s="399"/>
      <c r="F33" s="399"/>
      <c r="G33" s="399"/>
      <c r="H33" s="400"/>
      <c r="I33" s="400"/>
      <c r="J33" s="399"/>
      <c r="K33" s="401"/>
    </row>
    <row r="34" spans="1:20" s="402" customFormat="1" ht="15.95" customHeight="1">
      <c r="A34" s="399"/>
      <c r="B34" s="399"/>
      <c r="C34" s="399"/>
      <c r="D34" s="399"/>
      <c r="E34" s="399"/>
      <c r="F34" s="399"/>
      <c r="G34" s="399"/>
      <c r="H34" s="400"/>
      <c r="I34" s="400"/>
      <c r="J34" s="399"/>
      <c r="K34" s="401"/>
    </row>
    <row r="35" spans="1:20" s="402" customFormat="1" ht="15.95" customHeight="1">
      <c r="A35" s="399"/>
      <c r="B35" s="399"/>
      <c r="C35" s="399"/>
      <c r="D35" s="399"/>
      <c r="E35" s="399"/>
      <c r="F35" s="399"/>
      <c r="G35" s="399"/>
      <c r="H35" s="400"/>
      <c r="I35" s="400"/>
      <c r="J35" s="399"/>
      <c r="K35" s="401"/>
    </row>
    <row r="36" spans="1:20" s="402" customFormat="1" ht="15.95" customHeight="1">
      <c r="A36" s="399"/>
      <c r="B36" s="399"/>
      <c r="C36" s="399"/>
      <c r="D36" s="399"/>
      <c r="E36" s="399"/>
      <c r="F36" s="399"/>
      <c r="G36" s="399"/>
      <c r="H36" s="400"/>
      <c r="I36" s="400"/>
      <c r="J36" s="399"/>
      <c r="T36" s="401"/>
    </row>
    <row r="37" spans="1:20" s="402" customFormat="1" ht="15.95" customHeight="1">
      <c r="A37" s="399"/>
      <c r="B37" s="399"/>
      <c r="C37" s="399"/>
      <c r="D37" s="399"/>
      <c r="E37" s="399"/>
      <c r="F37" s="399"/>
      <c r="G37" s="399"/>
      <c r="H37" s="400"/>
      <c r="I37" s="400"/>
      <c r="J37" s="399"/>
      <c r="T37" s="401"/>
    </row>
    <row r="38" spans="1:20" s="402" customFormat="1" ht="15.95" customHeight="1">
      <c r="A38" s="399"/>
      <c r="B38" s="399"/>
      <c r="C38" s="399"/>
      <c r="D38" s="399"/>
      <c r="E38" s="399"/>
      <c r="F38" s="399"/>
      <c r="G38" s="399"/>
      <c r="H38" s="400"/>
      <c r="I38" s="400"/>
      <c r="J38" s="399"/>
      <c r="T38" s="401"/>
    </row>
    <row r="39" spans="1:20" s="402" customFormat="1" ht="15.95" customHeight="1">
      <c r="A39" s="399"/>
      <c r="B39" s="399"/>
      <c r="C39" s="399"/>
      <c r="D39" s="399"/>
      <c r="E39" s="399"/>
      <c r="F39" s="399"/>
      <c r="G39" s="399"/>
      <c r="H39" s="400"/>
      <c r="I39" s="400"/>
      <c r="J39" s="399"/>
      <c r="T39" s="401"/>
    </row>
    <row r="40" spans="1:20" s="402" customFormat="1" ht="15.95" customHeight="1">
      <c r="A40" s="399"/>
      <c r="B40" s="399"/>
      <c r="C40" s="399"/>
      <c r="D40" s="399"/>
      <c r="E40" s="399"/>
      <c r="F40" s="399"/>
      <c r="G40" s="399"/>
      <c r="H40" s="400"/>
      <c r="I40" s="400"/>
      <c r="J40" s="399"/>
      <c r="T40" s="401"/>
    </row>
    <row r="41" spans="1:20" s="402" customFormat="1" ht="15.95" customHeight="1">
      <c r="H41" s="424"/>
      <c r="I41" s="424"/>
      <c r="T41" s="401"/>
    </row>
    <row r="42" spans="1:20" s="402" customFormat="1" ht="15.95" customHeight="1">
      <c r="H42" s="424"/>
      <c r="I42" s="424"/>
      <c r="T42" s="401"/>
    </row>
    <row r="43" spans="1:20" s="402" customFormat="1" ht="15.95" customHeight="1">
      <c r="H43" s="424"/>
      <c r="I43" s="424"/>
      <c r="T43" s="401"/>
    </row>
    <row r="44" spans="1:20" s="402" customFormat="1" ht="15.95" customHeight="1">
      <c r="H44" s="424"/>
      <c r="I44" s="424"/>
      <c r="T44" s="401"/>
    </row>
    <row r="45" spans="1:20" s="402" customFormat="1" ht="15.95" customHeight="1">
      <c r="H45" s="424"/>
      <c r="I45" s="424"/>
      <c r="T45" s="401"/>
    </row>
    <row r="46" spans="1:20" s="402" customFormat="1" ht="15.95" customHeight="1">
      <c r="H46" s="424"/>
      <c r="I46" s="424"/>
      <c r="T46" s="401"/>
    </row>
    <row r="47" spans="1:20" s="402" customFormat="1" ht="15.95" customHeight="1">
      <c r="H47" s="424"/>
      <c r="I47" s="424"/>
      <c r="T47" s="401"/>
    </row>
    <row r="48" spans="1:20" s="402" customFormat="1" ht="15.95" customHeight="1">
      <c r="H48" s="424"/>
      <c r="I48" s="424"/>
      <c r="T48" s="401"/>
    </row>
    <row r="49" spans="8:20" s="402" customFormat="1" ht="15.95" customHeight="1">
      <c r="H49" s="424"/>
      <c r="I49" s="424"/>
      <c r="T49" s="401"/>
    </row>
    <row r="50" spans="8:20" s="402" customFormat="1" ht="15.95" customHeight="1">
      <c r="H50" s="424"/>
      <c r="I50" s="424"/>
      <c r="T50" s="401"/>
    </row>
    <row r="51" spans="8:20" s="402" customFormat="1" ht="15.95" customHeight="1">
      <c r="H51" s="424"/>
      <c r="I51" s="424"/>
      <c r="T51" s="401"/>
    </row>
    <row r="52" spans="8:20" s="402" customFormat="1" ht="15.95" customHeight="1">
      <c r="H52" s="424"/>
      <c r="I52" s="424"/>
      <c r="T52" s="401"/>
    </row>
    <row r="53" spans="8:20" s="402" customFormat="1" ht="15.95" customHeight="1">
      <c r="H53" s="424"/>
      <c r="I53" s="424"/>
      <c r="T53" s="401"/>
    </row>
    <row r="54" spans="8:20" s="402" customFormat="1" ht="15.95" customHeight="1">
      <c r="H54" s="424"/>
      <c r="I54" s="424"/>
      <c r="T54" s="401"/>
    </row>
    <row r="55" spans="8:20" s="402" customFormat="1" ht="15.95" customHeight="1">
      <c r="H55" s="424"/>
      <c r="I55" s="424"/>
      <c r="T55" s="401"/>
    </row>
    <row r="56" spans="8:20" s="402" customFormat="1" ht="15.95" customHeight="1">
      <c r="H56" s="424"/>
      <c r="I56" s="424"/>
      <c r="T56" s="401"/>
    </row>
    <row r="57" spans="8:20" s="402" customFormat="1" ht="15.95" customHeight="1">
      <c r="H57" s="424"/>
      <c r="I57" s="424"/>
      <c r="T57" s="401"/>
    </row>
    <row r="58" spans="8:20" s="402" customFormat="1" ht="15.95" customHeight="1">
      <c r="H58" s="424"/>
      <c r="I58" s="424"/>
      <c r="T58" s="401"/>
    </row>
    <row r="59" spans="8:20" s="402" customFormat="1" ht="15.95" customHeight="1">
      <c r="H59" s="424"/>
      <c r="I59" s="424"/>
      <c r="T59" s="401"/>
    </row>
    <row r="60" spans="8:20" s="402" customFormat="1" ht="15.95" customHeight="1">
      <c r="H60" s="424"/>
      <c r="I60" s="424"/>
      <c r="T60" s="401"/>
    </row>
    <row r="61" spans="8:20" s="402" customFormat="1" ht="15.95" customHeight="1">
      <c r="H61" s="424"/>
      <c r="I61" s="424"/>
      <c r="T61" s="401"/>
    </row>
    <row r="62" spans="8:20" s="402" customFormat="1" ht="15.95" customHeight="1">
      <c r="H62" s="424"/>
      <c r="I62" s="424"/>
      <c r="T62" s="401"/>
    </row>
    <row r="63" spans="8:20" s="402" customFormat="1" ht="15.95" customHeight="1">
      <c r="H63" s="424"/>
      <c r="I63" s="424"/>
      <c r="T63" s="401"/>
    </row>
    <row r="64" spans="8:20" s="402" customFormat="1" ht="15.95" customHeight="1">
      <c r="H64" s="424"/>
      <c r="I64" s="424"/>
      <c r="T64" s="401"/>
    </row>
    <row r="65" spans="8:20" s="402" customFormat="1" ht="15.95" customHeight="1">
      <c r="H65" s="424"/>
      <c r="I65" s="424"/>
      <c r="T65" s="401"/>
    </row>
    <row r="66" spans="8:20" s="402" customFormat="1" ht="15.95" customHeight="1">
      <c r="H66" s="424"/>
      <c r="I66" s="424"/>
      <c r="T66" s="401"/>
    </row>
    <row r="67" spans="8:20" s="402" customFormat="1" ht="15.95" customHeight="1">
      <c r="H67" s="424"/>
      <c r="I67" s="424"/>
      <c r="T67" s="401"/>
    </row>
    <row r="68" spans="8:20" s="402" customFormat="1" ht="15.95" customHeight="1">
      <c r="H68" s="424"/>
      <c r="I68" s="424"/>
      <c r="T68" s="401"/>
    </row>
    <row r="69" spans="8:20" s="402" customFormat="1" ht="15.95" customHeight="1">
      <c r="H69" s="424"/>
      <c r="I69" s="424"/>
      <c r="T69" s="401"/>
    </row>
    <row r="70" spans="8:20" s="402" customFormat="1" ht="15.95" customHeight="1">
      <c r="H70" s="424"/>
      <c r="I70" s="424"/>
      <c r="T70" s="401"/>
    </row>
    <row r="71" spans="8:20" s="402" customFormat="1" ht="15.95" customHeight="1">
      <c r="H71" s="424"/>
      <c r="I71" s="424"/>
      <c r="T71" s="401"/>
    </row>
    <row r="72" spans="8:20" s="402" customFormat="1" ht="15.95" customHeight="1">
      <c r="H72" s="424"/>
      <c r="I72" s="424"/>
      <c r="T72" s="401"/>
    </row>
    <row r="73" spans="8:20" s="402" customFormat="1" ht="15.95" customHeight="1">
      <c r="H73" s="424"/>
      <c r="I73" s="424"/>
      <c r="T73" s="401"/>
    </row>
    <row r="74" spans="8:20" s="402" customFormat="1" ht="15.95" customHeight="1">
      <c r="H74" s="424"/>
      <c r="I74" s="424"/>
      <c r="T74" s="401"/>
    </row>
    <row r="75" spans="8:20" s="402" customFormat="1" ht="15.95" customHeight="1">
      <c r="H75" s="424"/>
      <c r="I75" s="424"/>
      <c r="T75" s="401"/>
    </row>
    <row r="76" spans="8:20" s="402" customFormat="1" ht="15.95" customHeight="1">
      <c r="H76" s="424"/>
      <c r="I76" s="424"/>
      <c r="T76" s="401"/>
    </row>
    <row r="77" spans="8:20" s="402" customFormat="1" ht="15.95" customHeight="1">
      <c r="H77" s="424"/>
      <c r="I77" s="424"/>
      <c r="T77" s="401"/>
    </row>
    <row r="78" spans="8:20" s="402" customFormat="1" ht="15.95" customHeight="1">
      <c r="H78" s="424"/>
      <c r="I78" s="424"/>
      <c r="T78" s="401"/>
    </row>
    <row r="79" spans="8:20" s="402" customFormat="1" ht="15.95" customHeight="1">
      <c r="H79" s="424"/>
      <c r="I79" s="424"/>
      <c r="T79" s="401"/>
    </row>
    <row r="80" spans="8:20" s="402" customFormat="1" ht="15.95" customHeight="1">
      <c r="H80" s="424"/>
      <c r="I80" s="424"/>
      <c r="T80" s="401"/>
    </row>
    <row r="81" spans="8:20" s="402" customFormat="1" ht="15.95" customHeight="1">
      <c r="H81" s="424"/>
      <c r="I81" s="424"/>
      <c r="T81" s="401"/>
    </row>
    <row r="82" spans="8:20" s="402" customFormat="1" ht="15.95" customHeight="1">
      <c r="H82" s="424"/>
      <c r="I82" s="424"/>
      <c r="T82" s="401"/>
    </row>
    <row r="83" spans="8:20" s="402" customFormat="1" ht="15.95" customHeight="1">
      <c r="H83" s="424"/>
      <c r="I83" s="424"/>
      <c r="T83" s="401"/>
    </row>
    <row r="84" spans="8:20" s="402" customFormat="1" ht="15.95" customHeight="1">
      <c r="H84" s="424"/>
      <c r="I84" s="424"/>
      <c r="T84" s="401"/>
    </row>
    <row r="85" spans="8:20" s="402" customFormat="1" ht="15.95" customHeight="1">
      <c r="H85" s="424"/>
      <c r="I85" s="424"/>
      <c r="T85" s="401"/>
    </row>
    <row r="86" spans="8:20" s="402" customFormat="1" ht="15.95" customHeight="1">
      <c r="H86" s="424"/>
      <c r="I86" s="424"/>
      <c r="T86" s="401"/>
    </row>
    <row r="87" spans="8:20" s="402" customFormat="1" ht="15.95" customHeight="1">
      <c r="H87" s="424"/>
      <c r="I87" s="424"/>
      <c r="T87" s="401"/>
    </row>
    <row r="88" spans="8:20" s="402" customFormat="1" ht="15.95" customHeight="1">
      <c r="H88" s="424"/>
      <c r="I88" s="424"/>
      <c r="T88" s="401"/>
    </row>
    <row r="89" spans="8:20" s="402" customFormat="1" ht="15.95" customHeight="1">
      <c r="H89" s="424"/>
      <c r="I89" s="424"/>
      <c r="T89" s="401"/>
    </row>
    <row r="90" spans="8:20" s="402" customFormat="1" ht="15.95" customHeight="1">
      <c r="H90" s="424"/>
      <c r="I90" s="424"/>
      <c r="T90" s="401"/>
    </row>
    <row r="91" spans="8:20" s="402" customFormat="1" ht="15.95" customHeight="1">
      <c r="H91" s="424"/>
      <c r="I91" s="424"/>
      <c r="T91" s="401"/>
    </row>
    <row r="92" spans="8:20" s="402" customFormat="1" ht="15.95" customHeight="1">
      <c r="H92" s="424"/>
      <c r="I92" s="424"/>
      <c r="T92" s="401"/>
    </row>
    <row r="93" spans="8:20" s="402" customFormat="1" ht="15.95" customHeight="1">
      <c r="H93" s="424"/>
      <c r="I93" s="424"/>
      <c r="T93" s="401"/>
    </row>
    <row r="94" spans="8:20" s="402" customFormat="1" ht="15.95" customHeight="1">
      <c r="H94" s="424"/>
      <c r="I94" s="424"/>
      <c r="T94" s="401"/>
    </row>
    <row r="95" spans="8:20" s="402" customFormat="1" ht="15.95" customHeight="1">
      <c r="H95" s="424"/>
      <c r="I95" s="424"/>
      <c r="T95" s="401"/>
    </row>
    <row r="96" spans="8:20" s="402" customFormat="1" ht="15.95" customHeight="1">
      <c r="H96" s="424"/>
      <c r="I96" s="424"/>
      <c r="T96" s="401"/>
    </row>
    <row r="97" spans="1:20" s="402" customFormat="1" ht="15.95" customHeight="1">
      <c r="H97" s="424"/>
      <c r="I97" s="424"/>
      <c r="T97" s="401"/>
    </row>
    <row r="98" spans="1:20" s="402" customFormat="1" ht="15.95" customHeight="1">
      <c r="H98" s="424"/>
      <c r="I98" s="424"/>
      <c r="T98" s="401"/>
    </row>
    <row r="99" spans="1:20" s="402" customFormat="1" ht="15.95" customHeight="1">
      <c r="H99" s="424"/>
      <c r="I99" s="424"/>
      <c r="T99" s="401"/>
    </row>
    <row r="100" spans="1:20" s="402" customFormat="1" ht="15.95" customHeight="1">
      <c r="H100" s="424"/>
      <c r="I100" s="424"/>
      <c r="T100" s="401"/>
    </row>
    <row r="101" spans="1:20" s="402" customFormat="1" ht="15.95" customHeight="1">
      <c r="H101" s="424"/>
      <c r="I101" s="424"/>
      <c r="T101" s="401"/>
    </row>
    <row r="102" spans="1:20" s="402" customFormat="1" ht="15.95" customHeight="1">
      <c r="H102" s="424"/>
      <c r="I102" s="424"/>
      <c r="T102" s="401"/>
    </row>
    <row r="103" spans="1:20" s="402" customFormat="1" ht="15.95" customHeight="1">
      <c r="H103" s="424"/>
      <c r="I103" s="424"/>
      <c r="T103" s="401"/>
    </row>
    <row r="104" spans="1:20" ht="15.95" customHeight="1">
      <c r="A104" s="402"/>
      <c r="B104" s="402"/>
      <c r="C104" s="402"/>
      <c r="D104" s="402"/>
      <c r="E104" s="402"/>
      <c r="F104" s="402"/>
      <c r="G104" s="402"/>
      <c r="H104" s="424"/>
      <c r="I104" s="424"/>
      <c r="J104" s="402"/>
    </row>
    <row r="105" spans="1:20" ht="15.95" customHeight="1">
      <c r="A105" s="402"/>
      <c r="B105" s="402"/>
      <c r="C105" s="402"/>
      <c r="D105" s="402"/>
      <c r="E105" s="402"/>
      <c r="F105" s="402"/>
      <c r="G105" s="402"/>
      <c r="H105" s="424"/>
      <c r="I105" s="424"/>
      <c r="J105" s="402"/>
    </row>
    <row r="106" spans="1:20" ht="15.95" customHeight="1">
      <c r="B106" s="402"/>
      <c r="C106" s="402"/>
      <c r="D106" s="402"/>
      <c r="E106" s="402"/>
      <c r="F106" s="402"/>
      <c r="G106" s="402"/>
      <c r="H106" s="424"/>
      <c r="I106" s="424"/>
    </row>
  </sheetData>
  <mergeCells count="45">
    <mergeCell ref="J7:J8"/>
    <mergeCell ref="A9:C10"/>
    <mergeCell ref="D9:D10"/>
    <mergeCell ref="J9:J10"/>
    <mergeCell ref="A11:H11"/>
    <mergeCell ref="A2:F2"/>
    <mergeCell ref="A7:C8"/>
    <mergeCell ref="D7:D8"/>
    <mergeCell ref="E7:E8"/>
    <mergeCell ref="F7:G7"/>
    <mergeCell ref="J18:J19"/>
    <mergeCell ref="J23:J24"/>
    <mergeCell ref="C25:C26"/>
    <mergeCell ref="D25:D26"/>
    <mergeCell ref="A20:H20"/>
    <mergeCell ref="A12:A19"/>
    <mergeCell ref="B18:B19"/>
    <mergeCell ref="C18:C19"/>
    <mergeCell ref="D18:D19"/>
    <mergeCell ref="B12:B13"/>
    <mergeCell ref="C12:C13"/>
    <mergeCell ref="D12:D13"/>
    <mergeCell ref="J12:J13"/>
    <mergeCell ref="B16:B17"/>
    <mergeCell ref="C16:C17"/>
    <mergeCell ref="D16:D17"/>
    <mergeCell ref="J16:J17"/>
    <mergeCell ref="B14:B15"/>
    <mergeCell ref="C14:C15"/>
    <mergeCell ref="D14:D15"/>
    <mergeCell ref="J14:J15"/>
    <mergeCell ref="J29:J30"/>
    <mergeCell ref="J25:J26"/>
    <mergeCell ref="A27:H27"/>
    <mergeCell ref="A29:C31"/>
    <mergeCell ref="D29:D30"/>
    <mergeCell ref="E29:E30"/>
    <mergeCell ref="F29:G29"/>
    <mergeCell ref="A21:B26"/>
    <mergeCell ref="C21:C22"/>
    <mergeCell ref="D21:D22"/>
    <mergeCell ref="J21:J22"/>
    <mergeCell ref="C23:C24"/>
    <mergeCell ref="D23:D24"/>
    <mergeCell ref="I29:I30"/>
  </mergeCells>
  <phoneticPr fontId="2" type="noConversion"/>
  <printOptions horizontalCentered="1"/>
  <pageMargins left="0.11811023622047245" right="0.11811023622047245" top="0.39370078740157483" bottom="0.39370078740157483" header="0.31496062992125984" footer="0.31496062992125984"/>
  <pageSetup paperSize="9" scale="63" orientation="portrait" horizontalDpi="1200" verticalDpi="1200" r:id="rId1"/>
  <ignoredErrors>
    <ignoredError sqref="H22 H24 H26 H13 H15 H17 H19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6"/>
  <sheetViews>
    <sheetView showGridLines="0" view="pageBreakPreview" zoomScaleNormal="100" zoomScaleSheetLayoutView="100" workbookViewId="0">
      <selection activeCell="O10" sqref="O10"/>
    </sheetView>
  </sheetViews>
  <sheetFormatPr defaultRowHeight="15.95" customHeight="1"/>
  <cols>
    <col min="1" max="1" width="9.875" style="399" customWidth="1"/>
    <col min="2" max="2" width="4.5" style="399" customWidth="1"/>
    <col min="3" max="3" width="7.125" style="399" bestFit="1" customWidth="1"/>
    <col min="4" max="4" width="8.125" style="399" bestFit="1" customWidth="1"/>
    <col min="5" max="5" width="11.75" style="399" customWidth="1"/>
    <col min="6" max="6" width="51.125" style="399" customWidth="1"/>
    <col min="7" max="7" width="13.125" style="399" bestFit="1" customWidth="1"/>
    <col min="8" max="8" width="14.375" style="399" bestFit="1" customWidth="1"/>
    <col min="9" max="9" width="16.25" style="400" bestFit="1" customWidth="1"/>
    <col min="10" max="11" width="8.375" style="400" customWidth="1"/>
    <col min="12" max="12" width="7.375" style="399" bestFit="1" customWidth="1"/>
    <col min="13" max="13" width="6.375" style="399" bestFit="1" customWidth="1"/>
    <col min="14" max="14" width="22.875" style="399" customWidth="1"/>
    <col min="15" max="15" width="19.5" style="399" customWidth="1"/>
    <col min="16" max="17" width="9" style="399" bestFit="1" customWidth="1"/>
    <col min="18" max="18" width="15.75" style="399" customWidth="1"/>
    <col min="19" max="19" width="9.125" style="399" customWidth="1"/>
    <col min="20" max="20" width="14.375" style="399" customWidth="1"/>
    <col min="21" max="21" width="9.375" style="399" customWidth="1"/>
    <col min="22" max="22" width="8.875" style="425" customWidth="1"/>
    <col min="23" max="23" width="7.125" style="399" bestFit="1" customWidth="1"/>
    <col min="24" max="24" width="9.875" style="399" customWidth="1"/>
    <col min="25" max="25" width="7.125" style="399" bestFit="1" customWidth="1"/>
    <col min="26" max="26" width="9.625" style="399" customWidth="1"/>
    <col min="27" max="27" width="8.5" style="399" bestFit="1" customWidth="1"/>
    <col min="28" max="28" width="6.75" style="399" customWidth="1"/>
    <col min="29" max="29" width="10.625" style="399" customWidth="1"/>
    <col min="30" max="30" width="4.5" style="399" customWidth="1"/>
    <col min="31" max="31" width="8.75" style="399" customWidth="1"/>
    <col min="32" max="259" width="9" style="399"/>
    <col min="260" max="260" width="9.875" style="399" customWidth="1"/>
    <col min="261" max="261" width="4.5" style="399" customWidth="1"/>
    <col min="262" max="262" width="7.125" style="399" bestFit="1" customWidth="1"/>
    <col min="263" max="263" width="8.125" style="399" bestFit="1" customWidth="1"/>
    <col min="264" max="264" width="19.375" style="399" customWidth="1"/>
    <col min="265" max="266" width="13.125" style="399" bestFit="1" customWidth="1"/>
    <col min="267" max="267" width="16.25" style="399" bestFit="1" customWidth="1"/>
    <col min="268" max="268" width="7.375" style="399" bestFit="1" customWidth="1"/>
    <col min="269" max="269" width="6.375" style="399" bestFit="1" customWidth="1"/>
    <col min="270" max="270" width="22.875" style="399" customWidth="1"/>
    <col min="271" max="271" width="19.5" style="399" customWidth="1"/>
    <col min="272" max="273" width="9" style="399" bestFit="1" customWidth="1"/>
    <col min="274" max="274" width="15.75" style="399" customWidth="1"/>
    <col min="275" max="275" width="9.125" style="399" customWidth="1"/>
    <col min="276" max="276" width="14.375" style="399" customWidth="1"/>
    <col min="277" max="277" width="9.375" style="399" customWidth="1"/>
    <col min="278" max="278" width="8.875" style="399" customWidth="1"/>
    <col min="279" max="279" width="7.125" style="399" bestFit="1" customWidth="1"/>
    <col min="280" max="280" width="9.875" style="399" customWidth="1"/>
    <col min="281" max="281" width="7.125" style="399" bestFit="1" customWidth="1"/>
    <col min="282" max="282" width="9.625" style="399" customWidth="1"/>
    <col min="283" max="283" width="8.5" style="399" bestFit="1" customWidth="1"/>
    <col min="284" max="284" width="6.75" style="399" customWidth="1"/>
    <col min="285" max="285" width="10.625" style="399" customWidth="1"/>
    <col min="286" max="286" width="4.5" style="399" customWidth="1"/>
    <col min="287" max="287" width="8.75" style="399" customWidth="1"/>
    <col min="288" max="515" width="9" style="399"/>
    <col min="516" max="516" width="9.875" style="399" customWidth="1"/>
    <col min="517" max="517" width="4.5" style="399" customWidth="1"/>
    <col min="518" max="518" width="7.125" style="399" bestFit="1" customWidth="1"/>
    <col min="519" max="519" width="8.125" style="399" bestFit="1" customWidth="1"/>
    <col min="520" max="520" width="19.375" style="399" customWidth="1"/>
    <col min="521" max="522" width="13.125" style="399" bestFit="1" customWidth="1"/>
    <col min="523" max="523" width="16.25" style="399" bestFit="1" customWidth="1"/>
    <col min="524" max="524" width="7.375" style="399" bestFit="1" customWidth="1"/>
    <col min="525" max="525" width="6.375" style="399" bestFit="1" customWidth="1"/>
    <col min="526" max="526" width="22.875" style="399" customWidth="1"/>
    <col min="527" max="527" width="19.5" style="399" customWidth="1"/>
    <col min="528" max="529" width="9" style="399" bestFit="1" customWidth="1"/>
    <col min="530" max="530" width="15.75" style="399" customWidth="1"/>
    <col min="531" max="531" width="9.125" style="399" customWidth="1"/>
    <col min="532" max="532" width="14.375" style="399" customWidth="1"/>
    <col min="533" max="533" width="9.375" style="399" customWidth="1"/>
    <col min="534" max="534" width="8.875" style="399" customWidth="1"/>
    <col min="535" max="535" width="7.125" style="399" bestFit="1" customWidth="1"/>
    <col min="536" max="536" width="9.875" style="399" customWidth="1"/>
    <col min="537" max="537" width="7.125" style="399" bestFit="1" customWidth="1"/>
    <col min="538" max="538" width="9.625" style="399" customWidth="1"/>
    <col min="539" max="539" width="8.5" style="399" bestFit="1" customWidth="1"/>
    <col min="540" max="540" width="6.75" style="399" customWidth="1"/>
    <col min="541" max="541" width="10.625" style="399" customWidth="1"/>
    <col min="542" max="542" width="4.5" style="399" customWidth="1"/>
    <col min="543" max="543" width="8.75" style="399" customWidth="1"/>
    <col min="544" max="771" width="9" style="399"/>
    <col min="772" max="772" width="9.875" style="399" customWidth="1"/>
    <col min="773" max="773" width="4.5" style="399" customWidth="1"/>
    <col min="774" max="774" width="7.125" style="399" bestFit="1" customWidth="1"/>
    <col min="775" max="775" width="8.125" style="399" bestFit="1" customWidth="1"/>
    <col min="776" max="776" width="19.375" style="399" customWidth="1"/>
    <col min="777" max="778" width="13.125" style="399" bestFit="1" customWidth="1"/>
    <col min="779" max="779" width="16.25" style="399" bestFit="1" customWidth="1"/>
    <col min="780" max="780" width="7.375" style="399" bestFit="1" customWidth="1"/>
    <col min="781" max="781" width="6.375" style="399" bestFit="1" customWidth="1"/>
    <col min="782" max="782" width="22.875" style="399" customWidth="1"/>
    <col min="783" max="783" width="19.5" style="399" customWidth="1"/>
    <col min="784" max="785" width="9" style="399" bestFit="1" customWidth="1"/>
    <col min="786" max="786" width="15.75" style="399" customWidth="1"/>
    <col min="787" max="787" width="9.125" style="399" customWidth="1"/>
    <col min="788" max="788" width="14.375" style="399" customWidth="1"/>
    <col min="789" max="789" width="9.375" style="399" customWidth="1"/>
    <col min="790" max="790" width="8.875" style="399" customWidth="1"/>
    <col min="791" max="791" width="7.125" style="399" bestFit="1" customWidth="1"/>
    <col min="792" max="792" width="9.875" style="399" customWidth="1"/>
    <col min="793" max="793" width="7.125" style="399" bestFit="1" customWidth="1"/>
    <col min="794" max="794" width="9.625" style="399" customWidth="1"/>
    <col min="795" max="795" width="8.5" style="399" bestFit="1" customWidth="1"/>
    <col min="796" max="796" width="6.75" style="399" customWidth="1"/>
    <col min="797" max="797" width="10.625" style="399" customWidth="1"/>
    <col min="798" max="798" width="4.5" style="399" customWidth="1"/>
    <col min="799" max="799" width="8.75" style="399" customWidth="1"/>
    <col min="800" max="1027" width="9" style="399"/>
    <col min="1028" max="1028" width="9.875" style="399" customWidth="1"/>
    <col min="1029" max="1029" width="4.5" style="399" customWidth="1"/>
    <col min="1030" max="1030" width="7.125" style="399" bestFit="1" customWidth="1"/>
    <col min="1031" max="1031" width="8.125" style="399" bestFit="1" customWidth="1"/>
    <col min="1032" max="1032" width="19.375" style="399" customWidth="1"/>
    <col min="1033" max="1034" width="13.125" style="399" bestFit="1" customWidth="1"/>
    <col min="1035" max="1035" width="16.25" style="399" bestFit="1" customWidth="1"/>
    <col min="1036" max="1036" width="7.375" style="399" bestFit="1" customWidth="1"/>
    <col min="1037" max="1037" width="6.375" style="399" bestFit="1" customWidth="1"/>
    <col min="1038" max="1038" width="22.875" style="399" customWidth="1"/>
    <col min="1039" max="1039" width="19.5" style="399" customWidth="1"/>
    <col min="1040" max="1041" width="9" style="399" bestFit="1" customWidth="1"/>
    <col min="1042" max="1042" width="15.75" style="399" customWidth="1"/>
    <col min="1043" max="1043" width="9.125" style="399" customWidth="1"/>
    <col min="1044" max="1044" width="14.375" style="399" customWidth="1"/>
    <col min="1045" max="1045" width="9.375" style="399" customWidth="1"/>
    <col min="1046" max="1046" width="8.875" style="399" customWidth="1"/>
    <col min="1047" max="1047" width="7.125" style="399" bestFit="1" customWidth="1"/>
    <col min="1048" max="1048" width="9.875" style="399" customWidth="1"/>
    <col min="1049" max="1049" width="7.125" style="399" bestFit="1" customWidth="1"/>
    <col min="1050" max="1050" width="9.625" style="399" customWidth="1"/>
    <col min="1051" max="1051" width="8.5" style="399" bestFit="1" customWidth="1"/>
    <col min="1052" max="1052" width="6.75" style="399" customWidth="1"/>
    <col min="1053" max="1053" width="10.625" style="399" customWidth="1"/>
    <col min="1054" max="1054" width="4.5" style="399" customWidth="1"/>
    <col min="1055" max="1055" width="8.75" style="399" customWidth="1"/>
    <col min="1056" max="1283" width="9" style="399"/>
    <col min="1284" max="1284" width="9.875" style="399" customWidth="1"/>
    <col min="1285" max="1285" width="4.5" style="399" customWidth="1"/>
    <col min="1286" max="1286" width="7.125" style="399" bestFit="1" customWidth="1"/>
    <col min="1287" max="1287" width="8.125" style="399" bestFit="1" customWidth="1"/>
    <col min="1288" max="1288" width="19.375" style="399" customWidth="1"/>
    <col min="1289" max="1290" width="13.125" style="399" bestFit="1" customWidth="1"/>
    <col min="1291" max="1291" width="16.25" style="399" bestFit="1" customWidth="1"/>
    <col min="1292" max="1292" width="7.375" style="399" bestFit="1" customWidth="1"/>
    <col min="1293" max="1293" width="6.375" style="399" bestFit="1" customWidth="1"/>
    <col min="1294" max="1294" width="22.875" style="399" customWidth="1"/>
    <col min="1295" max="1295" width="19.5" style="399" customWidth="1"/>
    <col min="1296" max="1297" width="9" style="399" bestFit="1" customWidth="1"/>
    <col min="1298" max="1298" width="15.75" style="399" customWidth="1"/>
    <col min="1299" max="1299" width="9.125" style="399" customWidth="1"/>
    <col min="1300" max="1300" width="14.375" style="399" customWidth="1"/>
    <col min="1301" max="1301" width="9.375" style="399" customWidth="1"/>
    <col min="1302" max="1302" width="8.875" style="399" customWidth="1"/>
    <col min="1303" max="1303" width="7.125" style="399" bestFit="1" customWidth="1"/>
    <col min="1304" max="1304" width="9.875" style="399" customWidth="1"/>
    <col min="1305" max="1305" width="7.125" style="399" bestFit="1" customWidth="1"/>
    <col min="1306" max="1306" width="9.625" style="399" customWidth="1"/>
    <col min="1307" max="1307" width="8.5" style="399" bestFit="1" customWidth="1"/>
    <col min="1308" max="1308" width="6.75" style="399" customWidth="1"/>
    <col min="1309" max="1309" width="10.625" style="399" customWidth="1"/>
    <col min="1310" max="1310" width="4.5" style="399" customWidth="1"/>
    <col min="1311" max="1311" width="8.75" style="399" customWidth="1"/>
    <col min="1312" max="1539" width="9" style="399"/>
    <col min="1540" max="1540" width="9.875" style="399" customWidth="1"/>
    <col min="1541" max="1541" width="4.5" style="399" customWidth="1"/>
    <col min="1542" max="1542" width="7.125" style="399" bestFit="1" customWidth="1"/>
    <col min="1543" max="1543" width="8.125" style="399" bestFit="1" customWidth="1"/>
    <col min="1544" max="1544" width="19.375" style="399" customWidth="1"/>
    <col min="1545" max="1546" width="13.125" style="399" bestFit="1" customWidth="1"/>
    <col min="1547" max="1547" width="16.25" style="399" bestFit="1" customWidth="1"/>
    <col min="1548" max="1548" width="7.375" style="399" bestFit="1" customWidth="1"/>
    <col min="1549" max="1549" width="6.375" style="399" bestFit="1" customWidth="1"/>
    <col min="1550" max="1550" width="22.875" style="399" customWidth="1"/>
    <col min="1551" max="1551" width="19.5" style="399" customWidth="1"/>
    <col min="1552" max="1553" width="9" style="399" bestFit="1" customWidth="1"/>
    <col min="1554" max="1554" width="15.75" style="399" customWidth="1"/>
    <col min="1555" max="1555" width="9.125" style="399" customWidth="1"/>
    <col min="1556" max="1556" width="14.375" style="399" customWidth="1"/>
    <col min="1557" max="1557" width="9.375" style="399" customWidth="1"/>
    <col min="1558" max="1558" width="8.875" style="399" customWidth="1"/>
    <col min="1559" max="1559" width="7.125" style="399" bestFit="1" customWidth="1"/>
    <col min="1560" max="1560" width="9.875" style="399" customWidth="1"/>
    <col min="1561" max="1561" width="7.125" style="399" bestFit="1" customWidth="1"/>
    <col min="1562" max="1562" width="9.625" style="399" customWidth="1"/>
    <col min="1563" max="1563" width="8.5" style="399" bestFit="1" customWidth="1"/>
    <col min="1564" max="1564" width="6.75" style="399" customWidth="1"/>
    <col min="1565" max="1565" width="10.625" style="399" customWidth="1"/>
    <col min="1566" max="1566" width="4.5" style="399" customWidth="1"/>
    <col min="1567" max="1567" width="8.75" style="399" customWidth="1"/>
    <col min="1568" max="1795" width="9" style="399"/>
    <col min="1796" max="1796" width="9.875" style="399" customWidth="1"/>
    <col min="1797" max="1797" width="4.5" style="399" customWidth="1"/>
    <col min="1798" max="1798" width="7.125" style="399" bestFit="1" customWidth="1"/>
    <col min="1799" max="1799" width="8.125" style="399" bestFit="1" customWidth="1"/>
    <col min="1800" max="1800" width="19.375" style="399" customWidth="1"/>
    <col min="1801" max="1802" width="13.125" style="399" bestFit="1" customWidth="1"/>
    <col min="1803" max="1803" width="16.25" style="399" bestFit="1" customWidth="1"/>
    <col min="1804" max="1804" width="7.375" style="399" bestFit="1" customWidth="1"/>
    <col min="1805" max="1805" width="6.375" style="399" bestFit="1" customWidth="1"/>
    <col min="1806" max="1806" width="22.875" style="399" customWidth="1"/>
    <col min="1807" max="1807" width="19.5" style="399" customWidth="1"/>
    <col min="1808" max="1809" width="9" style="399" bestFit="1" customWidth="1"/>
    <col min="1810" max="1810" width="15.75" style="399" customWidth="1"/>
    <col min="1811" max="1811" width="9.125" style="399" customWidth="1"/>
    <col min="1812" max="1812" width="14.375" style="399" customWidth="1"/>
    <col min="1813" max="1813" width="9.375" style="399" customWidth="1"/>
    <col min="1814" max="1814" width="8.875" style="399" customWidth="1"/>
    <col min="1815" max="1815" width="7.125" style="399" bestFit="1" customWidth="1"/>
    <col min="1816" max="1816" width="9.875" style="399" customWidth="1"/>
    <col min="1817" max="1817" width="7.125" style="399" bestFit="1" customWidth="1"/>
    <col min="1818" max="1818" width="9.625" style="399" customWidth="1"/>
    <col min="1819" max="1819" width="8.5" style="399" bestFit="1" customWidth="1"/>
    <col min="1820" max="1820" width="6.75" style="399" customWidth="1"/>
    <col min="1821" max="1821" width="10.625" style="399" customWidth="1"/>
    <col min="1822" max="1822" width="4.5" style="399" customWidth="1"/>
    <col min="1823" max="1823" width="8.75" style="399" customWidth="1"/>
    <col min="1824" max="2051" width="9" style="399"/>
    <col min="2052" max="2052" width="9.875" style="399" customWidth="1"/>
    <col min="2053" max="2053" width="4.5" style="399" customWidth="1"/>
    <col min="2054" max="2054" width="7.125" style="399" bestFit="1" customWidth="1"/>
    <col min="2055" max="2055" width="8.125" style="399" bestFit="1" customWidth="1"/>
    <col min="2056" max="2056" width="19.375" style="399" customWidth="1"/>
    <col min="2057" max="2058" width="13.125" style="399" bestFit="1" customWidth="1"/>
    <col min="2059" max="2059" width="16.25" style="399" bestFit="1" customWidth="1"/>
    <col min="2060" max="2060" width="7.375" style="399" bestFit="1" customWidth="1"/>
    <col min="2061" max="2061" width="6.375" style="399" bestFit="1" customWidth="1"/>
    <col min="2062" max="2062" width="22.875" style="399" customWidth="1"/>
    <col min="2063" max="2063" width="19.5" style="399" customWidth="1"/>
    <col min="2064" max="2065" width="9" style="399" bestFit="1" customWidth="1"/>
    <col min="2066" max="2066" width="15.75" style="399" customWidth="1"/>
    <col min="2067" max="2067" width="9.125" style="399" customWidth="1"/>
    <col min="2068" max="2068" width="14.375" style="399" customWidth="1"/>
    <col min="2069" max="2069" width="9.375" style="399" customWidth="1"/>
    <col min="2070" max="2070" width="8.875" style="399" customWidth="1"/>
    <col min="2071" max="2071" width="7.125" style="399" bestFit="1" customWidth="1"/>
    <col min="2072" max="2072" width="9.875" style="399" customWidth="1"/>
    <col min="2073" max="2073" width="7.125" style="399" bestFit="1" customWidth="1"/>
    <col min="2074" max="2074" width="9.625" style="399" customWidth="1"/>
    <col min="2075" max="2075" width="8.5" style="399" bestFit="1" customWidth="1"/>
    <col min="2076" max="2076" width="6.75" style="399" customWidth="1"/>
    <col min="2077" max="2077" width="10.625" style="399" customWidth="1"/>
    <col min="2078" max="2078" width="4.5" style="399" customWidth="1"/>
    <col min="2079" max="2079" width="8.75" style="399" customWidth="1"/>
    <col min="2080" max="2307" width="9" style="399"/>
    <col min="2308" max="2308" width="9.875" style="399" customWidth="1"/>
    <col min="2309" max="2309" width="4.5" style="399" customWidth="1"/>
    <col min="2310" max="2310" width="7.125" style="399" bestFit="1" customWidth="1"/>
    <col min="2311" max="2311" width="8.125" style="399" bestFit="1" customWidth="1"/>
    <col min="2312" max="2312" width="19.375" style="399" customWidth="1"/>
    <col min="2313" max="2314" width="13.125" style="399" bestFit="1" customWidth="1"/>
    <col min="2315" max="2315" width="16.25" style="399" bestFit="1" customWidth="1"/>
    <col min="2316" max="2316" width="7.375" style="399" bestFit="1" customWidth="1"/>
    <col min="2317" max="2317" width="6.375" style="399" bestFit="1" customWidth="1"/>
    <col min="2318" max="2318" width="22.875" style="399" customWidth="1"/>
    <col min="2319" max="2319" width="19.5" style="399" customWidth="1"/>
    <col min="2320" max="2321" width="9" style="399" bestFit="1" customWidth="1"/>
    <col min="2322" max="2322" width="15.75" style="399" customWidth="1"/>
    <col min="2323" max="2323" width="9.125" style="399" customWidth="1"/>
    <col min="2324" max="2324" width="14.375" style="399" customWidth="1"/>
    <col min="2325" max="2325" width="9.375" style="399" customWidth="1"/>
    <col min="2326" max="2326" width="8.875" style="399" customWidth="1"/>
    <col min="2327" max="2327" width="7.125" style="399" bestFit="1" customWidth="1"/>
    <col min="2328" max="2328" width="9.875" style="399" customWidth="1"/>
    <col min="2329" max="2329" width="7.125" style="399" bestFit="1" customWidth="1"/>
    <col min="2330" max="2330" width="9.625" style="399" customWidth="1"/>
    <col min="2331" max="2331" width="8.5" style="399" bestFit="1" customWidth="1"/>
    <col min="2332" max="2332" width="6.75" style="399" customWidth="1"/>
    <col min="2333" max="2333" width="10.625" style="399" customWidth="1"/>
    <col min="2334" max="2334" width="4.5" style="399" customWidth="1"/>
    <col min="2335" max="2335" width="8.75" style="399" customWidth="1"/>
    <col min="2336" max="2563" width="9" style="399"/>
    <col min="2564" max="2564" width="9.875" style="399" customWidth="1"/>
    <col min="2565" max="2565" width="4.5" style="399" customWidth="1"/>
    <col min="2566" max="2566" width="7.125" style="399" bestFit="1" customWidth="1"/>
    <col min="2567" max="2567" width="8.125" style="399" bestFit="1" customWidth="1"/>
    <col min="2568" max="2568" width="19.375" style="399" customWidth="1"/>
    <col min="2569" max="2570" width="13.125" style="399" bestFit="1" customWidth="1"/>
    <col min="2571" max="2571" width="16.25" style="399" bestFit="1" customWidth="1"/>
    <col min="2572" max="2572" width="7.375" style="399" bestFit="1" customWidth="1"/>
    <col min="2573" max="2573" width="6.375" style="399" bestFit="1" customWidth="1"/>
    <col min="2574" max="2574" width="22.875" style="399" customWidth="1"/>
    <col min="2575" max="2575" width="19.5" style="399" customWidth="1"/>
    <col min="2576" max="2577" width="9" style="399" bestFit="1" customWidth="1"/>
    <col min="2578" max="2578" width="15.75" style="399" customWidth="1"/>
    <col min="2579" max="2579" width="9.125" style="399" customWidth="1"/>
    <col min="2580" max="2580" width="14.375" style="399" customWidth="1"/>
    <col min="2581" max="2581" width="9.375" style="399" customWidth="1"/>
    <col min="2582" max="2582" width="8.875" style="399" customWidth="1"/>
    <col min="2583" max="2583" width="7.125" style="399" bestFit="1" customWidth="1"/>
    <col min="2584" max="2584" width="9.875" style="399" customWidth="1"/>
    <col min="2585" max="2585" width="7.125" style="399" bestFit="1" customWidth="1"/>
    <col min="2586" max="2586" width="9.625" style="399" customWidth="1"/>
    <col min="2587" max="2587" width="8.5" style="399" bestFit="1" customWidth="1"/>
    <col min="2588" max="2588" width="6.75" style="399" customWidth="1"/>
    <col min="2589" max="2589" width="10.625" style="399" customWidth="1"/>
    <col min="2590" max="2590" width="4.5" style="399" customWidth="1"/>
    <col min="2591" max="2591" width="8.75" style="399" customWidth="1"/>
    <col min="2592" max="2819" width="9" style="399"/>
    <col min="2820" max="2820" width="9.875" style="399" customWidth="1"/>
    <col min="2821" max="2821" width="4.5" style="399" customWidth="1"/>
    <col min="2822" max="2822" width="7.125" style="399" bestFit="1" customWidth="1"/>
    <col min="2823" max="2823" width="8.125" style="399" bestFit="1" customWidth="1"/>
    <col min="2824" max="2824" width="19.375" style="399" customWidth="1"/>
    <col min="2825" max="2826" width="13.125" style="399" bestFit="1" customWidth="1"/>
    <col min="2827" max="2827" width="16.25" style="399" bestFit="1" customWidth="1"/>
    <col min="2828" max="2828" width="7.375" style="399" bestFit="1" customWidth="1"/>
    <col min="2829" max="2829" width="6.375" style="399" bestFit="1" customWidth="1"/>
    <col min="2830" max="2830" width="22.875" style="399" customWidth="1"/>
    <col min="2831" max="2831" width="19.5" style="399" customWidth="1"/>
    <col min="2832" max="2833" width="9" style="399" bestFit="1" customWidth="1"/>
    <col min="2834" max="2834" width="15.75" style="399" customWidth="1"/>
    <col min="2835" max="2835" width="9.125" style="399" customWidth="1"/>
    <col min="2836" max="2836" width="14.375" style="399" customWidth="1"/>
    <col min="2837" max="2837" width="9.375" style="399" customWidth="1"/>
    <col min="2838" max="2838" width="8.875" style="399" customWidth="1"/>
    <col min="2839" max="2839" width="7.125" style="399" bestFit="1" customWidth="1"/>
    <col min="2840" max="2840" width="9.875" style="399" customWidth="1"/>
    <col min="2841" max="2841" width="7.125" style="399" bestFit="1" customWidth="1"/>
    <col min="2842" max="2842" width="9.625" style="399" customWidth="1"/>
    <col min="2843" max="2843" width="8.5" style="399" bestFit="1" customWidth="1"/>
    <col min="2844" max="2844" width="6.75" style="399" customWidth="1"/>
    <col min="2845" max="2845" width="10.625" style="399" customWidth="1"/>
    <col min="2846" max="2846" width="4.5" style="399" customWidth="1"/>
    <col min="2847" max="2847" width="8.75" style="399" customWidth="1"/>
    <col min="2848" max="3075" width="9" style="399"/>
    <col min="3076" max="3076" width="9.875" style="399" customWidth="1"/>
    <col min="3077" max="3077" width="4.5" style="399" customWidth="1"/>
    <col min="3078" max="3078" width="7.125" style="399" bestFit="1" customWidth="1"/>
    <col min="3079" max="3079" width="8.125" style="399" bestFit="1" customWidth="1"/>
    <col min="3080" max="3080" width="19.375" style="399" customWidth="1"/>
    <col min="3081" max="3082" width="13.125" style="399" bestFit="1" customWidth="1"/>
    <col min="3083" max="3083" width="16.25" style="399" bestFit="1" customWidth="1"/>
    <col min="3084" max="3084" width="7.375" style="399" bestFit="1" customWidth="1"/>
    <col min="3085" max="3085" width="6.375" style="399" bestFit="1" customWidth="1"/>
    <col min="3086" max="3086" width="22.875" style="399" customWidth="1"/>
    <col min="3087" max="3087" width="19.5" style="399" customWidth="1"/>
    <col min="3088" max="3089" width="9" style="399" bestFit="1" customWidth="1"/>
    <col min="3090" max="3090" width="15.75" style="399" customWidth="1"/>
    <col min="3091" max="3091" width="9.125" style="399" customWidth="1"/>
    <col min="3092" max="3092" width="14.375" style="399" customWidth="1"/>
    <col min="3093" max="3093" width="9.375" style="399" customWidth="1"/>
    <col min="3094" max="3094" width="8.875" style="399" customWidth="1"/>
    <col min="3095" max="3095" width="7.125" style="399" bestFit="1" customWidth="1"/>
    <col min="3096" max="3096" width="9.875" style="399" customWidth="1"/>
    <col min="3097" max="3097" width="7.125" style="399" bestFit="1" customWidth="1"/>
    <col min="3098" max="3098" width="9.625" style="399" customWidth="1"/>
    <col min="3099" max="3099" width="8.5" style="399" bestFit="1" customWidth="1"/>
    <col min="3100" max="3100" width="6.75" style="399" customWidth="1"/>
    <col min="3101" max="3101" width="10.625" style="399" customWidth="1"/>
    <col min="3102" max="3102" width="4.5" style="399" customWidth="1"/>
    <col min="3103" max="3103" width="8.75" style="399" customWidth="1"/>
    <col min="3104" max="3331" width="9" style="399"/>
    <col min="3332" max="3332" width="9.875" style="399" customWidth="1"/>
    <col min="3333" max="3333" width="4.5" style="399" customWidth="1"/>
    <col min="3334" max="3334" width="7.125" style="399" bestFit="1" customWidth="1"/>
    <col min="3335" max="3335" width="8.125" style="399" bestFit="1" customWidth="1"/>
    <col min="3336" max="3336" width="19.375" style="399" customWidth="1"/>
    <col min="3337" max="3338" width="13.125" style="399" bestFit="1" customWidth="1"/>
    <col min="3339" max="3339" width="16.25" style="399" bestFit="1" customWidth="1"/>
    <col min="3340" max="3340" width="7.375" style="399" bestFit="1" customWidth="1"/>
    <col min="3341" max="3341" width="6.375" style="399" bestFit="1" customWidth="1"/>
    <col min="3342" max="3342" width="22.875" style="399" customWidth="1"/>
    <col min="3343" max="3343" width="19.5" style="399" customWidth="1"/>
    <col min="3344" max="3345" width="9" style="399" bestFit="1" customWidth="1"/>
    <col min="3346" max="3346" width="15.75" style="399" customWidth="1"/>
    <col min="3347" max="3347" width="9.125" style="399" customWidth="1"/>
    <col min="3348" max="3348" width="14.375" style="399" customWidth="1"/>
    <col min="3349" max="3349" width="9.375" style="399" customWidth="1"/>
    <col min="3350" max="3350" width="8.875" style="399" customWidth="1"/>
    <col min="3351" max="3351" width="7.125" style="399" bestFit="1" customWidth="1"/>
    <col min="3352" max="3352" width="9.875" style="399" customWidth="1"/>
    <col min="3353" max="3353" width="7.125" style="399" bestFit="1" customWidth="1"/>
    <col min="3354" max="3354" width="9.625" style="399" customWidth="1"/>
    <col min="3355" max="3355" width="8.5" style="399" bestFit="1" customWidth="1"/>
    <col min="3356" max="3356" width="6.75" style="399" customWidth="1"/>
    <col min="3357" max="3357" width="10.625" style="399" customWidth="1"/>
    <col min="3358" max="3358" width="4.5" style="399" customWidth="1"/>
    <col min="3359" max="3359" width="8.75" style="399" customWidth="1"/>
    <col min="3360" max="3587" width="9" style="399"/>
    <col min="3588" max="3588" width="9.875" style="399" customWidth="1"/>
    <col min="3589" max="3589" width="4.5" style="399" customWidth="1"/>
    <col min="3590" max="3590" width="7.125" style="399" bestFit="1" customWidth="1"/>
    <col min="3591" max="3591" width="8.125" style="399" bestFit="1" customWidth="1"/>
    <col min="3592" max="3592" width="19.375" style="399" customWidth="1"/>
    <col min="3593" max="3594" width="13.125" style="399" bestFit="1" customWidth="1"/>
    <col min="3595" max="3595" width="16.25" style="399" bestFit="1" customWidth="1"/>
    <col min="3596" max="3596" width="7.375" style="399" bestFit="1" customWidth="1"/>
    <col min="3597" max="3597" width="6.375" style="399" bestFit="1" customWidth="1"/>
    <col min="3598" max="3598" width="22.875" style="399" customWidth="1"/>
    <col min="3599" max="3599" width="19.5" style="399" customWidth="1"/>
    <col min="3600" max="3601" width="9" style="399" bestFit="1" customWidth="1"/>
    <col min="3602" max="3602" width="15.75" style="399" customWidth="1"/>
    <col min="3603" max="3603" width="9.125" style="399" customWidth="1"/>
    <col min="3604" max="3604" width="14.375" style="399" customWidth="1"/>
    <col min="3605" max="3605" width="9.375" style="399" customWidth="1"/>
    <col min="3606" max="3606" width="8.875" style="399" customWidth="1"/>
    <col min="3607" max="3607" width="7.125" style="399" bestFit="1" customWidth="1"/>
    <col min="3608" max="3608" width="9.875" style="399" customWidth="1"/>
    <col min="3609" max="3609" width="7.125" style="399" bestFit="1" customWidth="1"/>
    <col min="3610" max="3610" width="9.625" style="399" customWidth="1"/>
    <col min="3611" max="3611" width="8.5" style="399" bestFit="1" customWidth="1"/>
    <col min="3612" max="3612" width="6.75" style="399" customWidth="1"/>
    <col min="3613" max="3613" width="10.625" style="399" customWidth="1"/>
    <col min="3614" max="3614" width="4.5" style="399" customWidth="1"/>
    <col min="3615" max="3615" width="8.75" style="399" customWidth="1"/>
    <col min="3616" max="3843" width="9" style="399"/>
    <col min="3844" max="3844" width="9.875" style="399" customWidth="1"/>
    <col min="3845" max="3845" width="4.5" style="399" customWidth="1"/>
    <col min="3846" max="3846" width="7.125" style="399" bestFit="1" customWidth="1"/>
    <col min="3847" max="3847" width="8.125" style="399" bestFit="1" customWidth="1"/>
    <col min="3848" max="3848" width="19.375" style="399" customWidth="1"/>
    <col min="3849" max="3850" width="13.125" style="399" bestFit="1" customWidth="1"/>
    <col min="3851" max="3851" width="16.25" style="399" bestFit="1" customWidth="1"/>
    <col min="3852" max="3852" width="7.375" style="399" bestFit="1" customWidth="1"/>
    <col min="3853" max="3853" width="6.375" style="399" bestFit="1" customWidth="1"/>
    <col min="3854" max="3854" width="22.875" style="399" customWidth="1"/>
    <col min="3855" max="3855" width="19.5" style="399" customWidth="1"/>
    <col min="3856" max="3857" width="9" style="399" bestFit="1" customWidth="1"/>
    <col min="3858" max="3858" width="15.75" style="399" customWidth="1"/>
    <col min="3859" max="3859" width="9.125" style="399" customWidth="1"/>
    <col min="3860" max="3860" width="14.375" style="399" customWidth="1"/>
    <col min="3861" max="3861" width="9.375" style="399" customWidth="1"/>
    <col min="3862" max="3862" width="8.875" style="399" customWidth="1"/>
    <col min="3863" max="3863" width="7.125" style="399" bestFit="1" customWidth="1"/>
    <col min="3864" max="3864" width="9.875" style="399" customWidth="1"/>
    <col min="3865" max="3865" width="7.125" style="399" bestFit="1" customWidth="1"/>
    <col min="3866" max="3866" width="9.625" style="399" customWidth="1"/>
    <col min="3867" max="3867" width="8.5" style="399" bestFit="1" customWidth="1"/>
    <col min="3868" max="3868" width="6.75" style="399" customWidth="1"/>
    <col min="3869" max="3869" width="10.625" style="399" customWidth="1"/>
    <col min="3870" max="3870" width="4.5" style="399" customWidth="1"/>
    <col min="3871" max="3871" width="8.75" style="399" customWidth="1"/>
    <col min="3872" max="4099" width="9" style="399"/>
    <col min="4100" max="4100" width="9.875" style="399" customWidth="1"/>
    <col min="4101" max="4101" width="4.5" style="399" customWidth="1"/>
    <col min="4102" max="4102" width="7.125" style="399" bestFit="1" customWidth="1"/>
    <col min="4103" max="4103" width="8.125" style="399" bestFit="1" customWidth="1"/>
    <col min="4104" max="4104" width="19.375" style="399" customWidth="1"/>
    <col min="4105" max="4106" width="13.125" style="399" bestFit="1" customWidth="1"/>
    <col min="4107" max="4107" width="16.25" style="399" bestFit="1" customWidth="1"/>
    <col min="4108" max="4108" width="7.375" style="399" bestFit="1" customWidth="1"/>
    <col min="4109" max="4109" width="6.375" style="399" bestFit="1" customWidth="1"/>
    <col min="4110" max="4110" width="22.875" style="399" customWidth="1"/>
    <col min="4111" max="4111" width="19.5" style="399" customWidth="1"/>
    <col min="4112" max="4113" width="9" style="399" bestFit="1" customWidth="1"/>
    <col min="4114" max="4114" width="15.75" style="399" customWidth="1"/>
    <col min="4115" max="4115" width="9.125" style="399" customWidth="1"/>
    <col min="4116" max="4116" width="14.375" style="399" customWidth="1"/>
    <col min="4117" max="4117" width="9.375" style="399" customWidth="1"/>
    <col min="4118" max="4118" width="8.875" style="399" customWidth="1"/>
    <col min="4119" max="4119" width="7.125" style="399" bestFit="1" customWidth="1"/>
    <col min="4120" max="4120" width="9.875" style="399" customWidth="1"/>
    <col min="4121" max="4121" width="7.125" style="399" bestFit="1" customWidth="1"/>
    <col min="4122" max="4122" width="9.625" style="399" customWidth="1"/>
    <col min="4123" max="4123" width="8.5" style="399" bestFit="1" customWidth="1"/>
    <col min="4124" max="4124" width="6.75" style="399" customWidth="1"/>
    <col min="4125" max="4125" width="10.625" style="399" customWidth="1"/>
    <col min="4126" max="4126" width="4.5" style="399" customWidth="1"/>
    <col min="4127" max="4127" width="8.75" style="399" customWidth="1"/>
    <col min="4128" max="4355" width="9" style="399"/>
    <col min="4356" max="4356" width="9.875" style="399" customWidth="1"/>
    <col min="4357" max="4357" width="4.5" style="399" customWidth="1"/>
    <col min="4358" max="4358" width="7.125" style="399" bestFit="1" customWidth="1"/>
    <col min="4359" max="4359" width="8.125" style="399" bestFit="1" customWidth="1"/>
    <col min="4360" max="4360" width="19.375" style="399" customWidth="1"/>
    <col min="4361" max="4362" width="13.125" style="399" bestFit="1" customWidth="1"/>
    <col min="4363" max="4363" width="16.25" style="399" bestFit="1" customWidth="1"/>
    <col min="4364" max="4364" width="7.375" style="399" bestFit="1" customWidth="1"/>
    <col min="4365" max="4365" width="6.375" style="399" bestFit="1" customWidth="1"/>
    <col min="4366" max="4366" width="22.875" style="399" customWidth="1"/>
    <col min="4367" max="4367" width="19.5" style="399" customWidth="1"/>
    <col min="4368" max="4369" width="9" style="399" bestFit="1" customWidth="1"/>
    <col min="4370" max="4370" width="15.75" style="399" customWidth="1"/>
    <col min="4371" max="4371" width="9.125" style="399" customWidth="1"/>
    <col min="4372" max="4372" width="14.375" style="399" customWidth="1"/>
    <col min="4373" max="4373" width="9.375" style="399" customWidth="1"/>
    <col min="4374" max="4374" width="8.875" style="399" customWidth="1"/>
    <col min="4375" max="4375" width="7.125" style="399" bestFit="1" customWidth="1"/>
    <col min="4376" max="4376" width="9.875" style="399" customWidth="1"/>
    <col min="4377" max="4377" width="7.125" style="399" bestFit="1" customWidth="1"/>
    <col min="4378" max="4378" width="9.625" style="399" customWidth="1"/>
    <col min="4379" max="4379" width="8.5" style="399" bestFit="1" customWidth="1"/>
    <col min="4380" max="4380" width="6.75" style="399" customWidth="1"/>
    <col min="4381" max="4381" width="10.625" style="399" customWidth="1"/>
    <col min="4382" max="4382" width="4.5" style="399" customWidth="1"/>
    <col min="4383" max="4383" width="8.75" style="399" customWidth="1"/>
    <col min="4384" max="4611" width="9" style="399"/>
    <col min="4612" max="4612" width="9.875" style="399" customWidth="1"/>
    <col min="4613" max="4613" width="4.5" style="399" customWidth="1"/>
    <col min="4614" max="4614" width="7.125" style="399" bestFit="1" customWidth="1"/>
    <col min="4615" max="4615" width="8.125" style="399" bestFit="1" customWidth="1"/>
    <col min="4616" max="4616" width="19.375" style="399" customWidth="1"/>
    <col min="4617" max="4618" width="13.125" style="399" bestFit="1" customWidth="1"/>
    <col min="4619" max="4619" width="16.25" style="399" bestFit="1" customWidth="1"/>
    <col min="4620" max="4620" width="7.375" style="399" bestFit="1" customWidth="1"/>
    <col min="4621" max="4621" width="6.375" style="399" bestFit="1" customWidth="1"/>
    <col min="4622" max="4622" width="22.875" style="399" customWidth="1"/>
    <col min="4623" max="4623" width="19.5" style="399" customWidth="1"/>
    <col min="4624" max="4625" width="9" style="399" bestFit="1" customWidth="1"/>
    <col min="4626" max="4626" width="15.75" style="399" customWidth="1"/>
    <col min="4627" max="4627" width="9.125" style="399" customWidth="1"/>
    <col min="4628" max="4628" width="14.375" style="399" customWidth="1"/>
    <col min="4629" max="4629" width="9.375" style="399" customWidth="1"/>
    <col min="4630" max="4630" width="8.875" style="399" customWidth="1"/>
    <col min="4631" max="4631" width="7.125" style="399" bestFit="1" customWidth="1"/>
    <col min="4632" max="4632" width="9.875" style="399" customWidth="1"/>
    <col min="4633" max="4633" width="7.125" style="399" bestFit="1" customWidth="1"/>
    <col min="4634" max="4634" width="9.625" style="399" customWidth="1"/>
    <col min="4635" max="4635" width="8.5" style="399" bestFit="1" customWidth="1"/>
    <col min="4636" max="4636" width="6.75" style="399" customWidth="1"/>
    <col min="4637" max="4637" width="10.625" style="399" customWidth="1"/>
    <col min="4638" max="4638" width="4.5" style="399" customWidth="1"/>
    <col min="4639" max="4639" width="8.75" style="399" customWidth="1"/>
    <col min="4640" max="4867" width="9" style="399"/>
    <col min="4868" max="4868" width="9.875" style="399" customWidth="1"/>
    <col min="4869" max="4869" width="4.5" style="399" customWidth="1"/>
    <col min="4870" max="4870" width="7.125" style="399" bestFit="1" customWidth="1"/>
    <col min="4871" max="4871" width="8.125" style="399" bestFit="1" customWidth="1"/>
    <col min="4872" max="4872" width="19.375" style="399" customWidth="1"/>
    <col min="4873" max="4874" width="13.125" style="399" bestFit="1" customWidth="1"/>
    <col min="4875" max="4875" width="16.25" style="399" bestFit="1" customWidth="1"/>
    <col min="4876" max="4876" width="7.375" style="399" bestFit="1" customWidth="1"/>
    <col min="4877" max="4877" width="6.375" style="399" bestFit="1" customWidth="1"/>
    <col min="4878" max="4878" width="22.875" style="399" customWidth="1"/>
    <col min="4879" max="4879" width="19.5" style="399" customWidth="1"/>
    <col min="4880" max="4881" width="9" style="399" bestFit="1" customWidth="1"/>
    <col min="4882" max="4882" width="15.75" style="399" customWidth="1"/>
    <col min="4883" max="4883" width="9.125" style="399" customWidth="1"/>
    <col min="4884" max="4884" width="14.375" style="399" customWidth="1"/>
    <col min="4885" max="4885" width="9.375" style="399" customWidth="1"/>
    <col min="4886" max="4886" width="8.875" style="399" customWidth="1"/>
    <col min="4887" max="4887" width="7.125" style="399" bestFit="1" customWidth="1"/>
    <col min="4888" max="4888" width="9.875" style="399" customWidth="1"/>
    <col min="4889" max="4889" width="7.125" style="399" bestFit="1" customWidth="1"/>
    <col min="4890" max="4890" width="9.625" style="399" customWidth="1"/>
    <col min="4891" max="4891" width="8.5" style="399" bestFit="1" customWidth="1"/>
    <col min="4892" max="4892" width="6.75" style="399" customWidth="1"/>
    <col min="4893" max="4893" width="10.625" style="399" customWidth="1"/>
    <col min="4894" max="4894" width="4.5" style="399" customWidth="1"/>
    <col min="4895" max="4895" width="8.75" style="399" customWidth="1"/>
    <col min="4896" max="5123" width="9" style="399"/>
    <col min="5124" max="5124" width="9.875" style="399" customWidth="1"/>
    <col min="5125" max="5125" width="4.5" style="399" customWidth="1"/>
    <col min="5126" max="5126" width="7.125" style="399" bestFit="1" customWidth="1"/>
    <col min="5127" max="5127" width="8.125" style="399" bestFit="1" customWidth="1"/>
    <col min="5128" max="5128" width="19.375" style="399" customWidth="1"/>
    <col min="5129" max="5130" width="13.125" style="399" bestFit="1" customWidth="1"/>
    <col min="5131" max="5131" width="16.25" style="399" bestFit="1" customWidth="1"/>
    <col min="5132" max="5132" width="7.375" style="399" bestFit="1" customWidth="1"/>
    <col min="5133" max="5133" width="6.375" style="399" bestFit="1" customWidth="1"/>
    <col min="5134" max="5134" width="22.875" style="399" customWidth="1"/>
    <col min="5135" max="5135" width="19.5" style="399" customWidth="1"/>
    <col min="5136" max="5137" width="9" style="399" bestFit="1" customWidth="1"/>
    <col min="5138" max="5138" width="15.75" style="399" customWidth="1"/>
    <col min="5139" max="5139" width="9.125" style="399" customWidth="1"/>
    <col min="5140" max="5140" width="14.375" style="399" customWidth="1"/>
    <col min="5141" max="5141" width="9.375" style="399" customWidth="1"/>
    <col min="5142" max="5142" width="8.875" style="399" customWidth="1"/>
    <col min="5143" max="5143" width="7.125" style="399" bestFit="1" customWidth="1"/>
    <col min="5144" max="5144" width="9.875" style="399" customWidth="1"/>
    <col min="5145" max="5145" width="7.125" style="399" bestFit="1" customWidth="1"/>
    <col min="5146" max="5146" width="9.625" style="399" customWidth="1"/>
    <col min="5147" max="5147" width="8.5" style="399" bestFit="1" customWidth="1"/>
    <col min="5148" max="5148" width="6.75" style="399" customWidth="1"/>
    <col min="5149" max="5149" width="10.625" style="399" customWidth="1"/>
    <col min="5150" max="5150" width="4.5" style="399" customWidth="1"/>
    <col min="5151" max="5151" width="8.75" style="399" customWidth="1"/>
    <col min="5152" max="5379" width="9" style="399"/>
    <col min="5380" max="5380" width="9.875" style="399" customWidth="1"/>
    <col min="5381" max="5381" width="4.5" style="399" customWidth="1"/>
    <col min="5382" max="5382" width="7.125" style="399" bestFit="1" customWidth="1"/>
    <col min="5383" max="5383" width="8.125" style="399" bestFit="1" customWidth="1"/>
    <col min="5384" max="5384" width="19.375" style="399" customWidth="1"/>
    <col min="5385" max="5386" width="13.125" style="399" bestFit="1" customWidth="1"/>
    <col min="5387" max="5387" width="16.25" style="399" bestFit="1" customWidth="1"/>
    <col min="5388" max="5388" width="7.375" style="399" bestFit="1" customWidth="1"/>
    <col min="5389" max="5389" width="6.375" style="399" bestFit="1" customWidth="1"/>
    <col min="5390" max="5390" width="22.875" style="399" customWidth="1"/>
    <col min="5391" max="5391" width="19.5" style="399" customWidth="1"/>
    <col min="5392" max="5393" width="9" style="399" bestFit="1" customWidth="1"/>
    <col min="5394" max="5394" width="15.75" style="399" customWidth="1"/>
    <col min="5395" max="5395" width="9.125" style="399" customWidth="1"/>
    <col min="5396" max="5396" width="14.375" style="399" customWidth="1"/>
    <col min="5397" max="5397" width="9.375" style="399" customWidth="1"/>
    <col min="5398" max="5398" width="8.875" style="399" customWidth="1"/>
    <col min="5399" max="5399" width="7.125" style="399" bestFit="1" customWidth="1"/>
    <col min="5400" max="5400" width="9.875" style="399" customWidth="1"/>
    <col min="5401" max="5401" width="7.125" style="399" bestFit="1" customWidth="1"/>
    <col min="5402" max="5402" width="9.625" style="399" customWidth="1"/>
    <col min="5403" max="5403" width="8.5" style="399" bestFit="1" customWidth="1"/>
    <col min="5404" max="5404" width="6.75" style="399" customWidth="1"/>
    <col min="5405" max="5405" width="10.625" style="399" customWidth="1"/>
    <col min="5406" max="5406" width="4.5" style="399" customWidth="1"/>
    <col min="5407" max="5407" width="8.75" style="399" customWidth="1"/>
    <col min="5408" max="5635" width="9" style="399"/>
    <col min="5636" max="5636" width="9.875" style="399" customWidth="1"/>
    <col min="5637" max="5637" width="4.5" style="399" customWidth="1"/>
    <col min="5638" max="5638" width="7.125" style="399" bestFit="1" customWidth="1"/>
    <col min="5639" max="5639" width="8.125" style="399" bestFit="1" customWidth="1"/>
    <col min="5640" max="5640" width="19.375" style="399" customWidth="1"/>
    <col min="5641" max="5642" width="13.125" style="399" bestFit="1" customWidth="1"/>
    <col min="5643" max="5643" width="16.25" style="399" bestFit="1" customWidth="1"/>
    <col min="5644" max="5644" width="7.375" style="399" bestFit="1" customWidth="1"/>
    <col min="5645" max="5645" width="6.375" style="399" bestFit="1" customWidth="1"/>
    <col min="5646" max="5646" width="22.875" style="399" customWidth="1"/>
    <col min="5647" max="5647" width="19.5" style="399" customWidth="1"/>
    <col min="5648" max="5649" width="9" style="399" bestFit="1" customWidth="1"/>
    <col min="5650" max="5650" width="15.75" style="399" customWidth="1"/>
    <col min="5651" max="5651" width="9.125" style="399" customWidth="1"/>
    <col min="5652" max="5652" width="14.375" style="399" customWidth="1"/>
    <col min="5653" max="5653" width="9.375" style="399" customWidth="1"/>
    <col min="5654" max="5654" width="8.875" style="399" customWidth="1"/>
    <col min="5655" max="5655" width="7.125" style="399" bestFit="1" customWidth="1"/>
    <col min="5656" max="5656" width="9.875" style="399" customWidth="1"/>
    <col min="5657" max="5657" width="7.125" style="399" bestFit="1" customWidth="1"/>
    <col min="5658" max="5658" width="9.625" style="399" customWidth="1"/>
    <col min="5659" max="5659" width="8.5" style="399" bestFit="1" customWidth="1"/>
    <col min="5660" max="5660" width="6.75" style="399" customWidth="1"/>
    <col min="5661" max="5661" width="10.625" style="399" customWidth="1"/>
    <col min="5662" max="5662" width="4.5" style="399" customWidth="1"/>
    <col min="5663" max="5663" width="8.75" style="399" customWidth="1"/>
    <col min="5664" max="5891" width="9" style="399"/>
    <col min="5892" max="5892" width="9.875" style="399" customWidth="1"/>
    <col min="5893" max="5893" width="4.5" style="399" customWidth="1"/>
    <col min="5894" max="5894" width="7.125" style="399" bestFit="1" customWidth="1"/>
    <col min="5895" max="5895" width="8.125" style="399" bestFit="1" customWidth="1"/>
    <col min="5896" max="5896" width="19.375" style="399" customWidth="1"/>
    <col min="5897" max="5898" width="13.125" style="399" bestFit="1" customWidth="1"/>
    <col min="5899" max="5899" width="16.25" style="399" bestFit="1" customWidth="1"/>
    <col min="5900" max="5900" width="7.375" style="399" bestFit="1" customWidth="1"/>
    <col min="5901" max="5901" width="6.375" style="399" bestFit="1" customWidth="1"/>
    <col min="5902" max="5902" width="22.875" style="399" customWidth="1"/>
    <col min="5903" max="5903" width="19.5" style="399" customWidth="1"/>
    <col min="5904" max="5905" width="9" style="399" bestFit="1" customWidth="1"/>
    <col min="5906" max="5906" width="15.75" style="399" customWidth="1"/>
    <col min="5907" max="5907" width="9.125" style="399" customWidth="1"/>
    <col min="5908" max="5908" width="14.375" style="399" customWidth="1"/>
    <col min="5909" max="5909" width="9.375" style="399" customWidth="1"/>
    <col min="5910" max="5910" width="8.875" style="399" customWidth="1"/>
    <col min="5911" max="5911" width="7.125" style="399" bestFit="1" customWidth="1"/>
    <col min="5912" max="5912" width="9.875" style="399" customWidth="1"/>
    <col min="5913" max="5913" width="7.125" style="399" bestFit="1" customWidth="1"/>
    <col min="5914" max="5914" width="9.625" style="399" customWidth="1"/>
    <col min="5915" max="5915" width="8.5" style="399" bestFit="1" customWidth="1"/>
    <col min="5916" max="5916" width="6.75" style="399" customWidth="1"/>
    <col min="5917" max="5917" width="10.625" style="399" customWidth="1"/>
    <col min="5918" max="5918" width="4.5" style="399" customWidth="1"/>
    <col min="5919" max="5919" width="8.75" style="399" customWidth="1"/>
    <col min="5920" max="6147" width="9" style="399"/>
    <col min="6148" max="6148" width="9.875" style="399" customWidth="1"/>
    <col min="6149" max="6149" width="4.5" style="399" customWidth="1"/>
    <col min="6150" max="6150" width="7.125" style="399" bestFit="1" customWidth="1"/>
    <col min="6151" max="6151" width="8.125" style="399" bestFit="1" customWidth="1"/>
    <col min="6152" max="6152" width="19.375" style="399" customWidth="1"/>
    <col min="6153" max="6154" width="13.125" style="399" bestFit="1" customWidth="1"/>
    <col min="6155" max="6155" width="16.25" style="399" bestFit="1" customWidth="1"/>
    <col min="6156" max="6156" width="7.375" style="399" bestFit="1" customWidth="1"/>
    <col min="6157" max="6157" width="6.375" style="399" bestFit="1" customWidth="1"/>
    <col min="6158" max="6158" width="22.875" style="399" customWidth="1"/>
    <col min="6159" max="6159" width="19.5" style="399" customWidth="1"/>
    <col min="6160" max="6161" width="9" style="399" bestFit="1" customWidth="1"/>
    <col min="6162" max="6162" width="15.75" style="399" customWidth="1"/>
    <col min="6163" max="6163" width="9.125" style="399" customWidth="1"/>
    <col min="6164" max="6164" width="14.375" style="399" customWidth="1"/>
    <col min="6165" max="6165" width="9.375" style="399" customWidth="1"/>
    <col min="6166" max="6166" width="8.875" style="399" customWidth="1"/>
    <col min="6167" max="6167" width="7.125" style="399" bestFit="1" customWidth="1"/>
    <col min="6168" max="6168" width="9.875" style="399" customWidth="1"/>
    <col min="6169" max="6169" width="7.125" style="399" bestFit="1" customWidth="1"/>
    <col min="6170" max="6170" width="9.625" style="399" customWidth="1"/>
    <col min="6171" max="6171" width="8.5" style="399" bestFit="1" customWidth="1"/>
    <col min="6172" max="6172" width="6.75" style="399" customWidth="1"/>
    <col min="6173" max="6173" width="10.625" style="399" customWidth="1"/>
    <col min="6174" max="6174" width="4.5" style="399" customWidth="1"/>
    <col min="6175" max="6175" width="8.75" style="399" customWidth="1"/>
    <col min="6176" max="6403" width="9" style="399"/>
    <col min="6404" max="6404" width="9.875" style="399" customWidth="1"/>
    <col min="6405" max="6405" width="4.5" style="399" customWidth="1"/>
    <col min="6406" max="6406" width="7.125" style="399" bestFit="1" customWidth="1"/>
    <col min="6407" max="6407" width="8.125" style="399" bestFit="1" customWidth="1"/>
    <col min="6408" max="6408" width="19.375" style="399" customWidth="1"/>
    <col min="6409" max="6410" width="13.125" style="399" bestFit="1" customWidth="1"/>
    <col min="6411" max="6411" width="16.25" style="399" bestFit="1" customWidth="1"/>
    <col min="6412" max="6412" width="7.375" style="399" bestFit="1" customWidth="1"/>
    <col min="6413" max="6413" width="6.375" style="399" bestFit="1" customWidth="1"/>
    <col min="6414" max="6414" width="22.875" style="399" customWidth="1"/>
    <col min="6415" max="6415" width="19.5" style="399" customWidth="1"/>
    <col min="6416" max="6417" width="9" style="399" bestFit="1" customWidth="1"/>
    <col min="6418" max="6418" width="15.75" style="399" customWidth="1"/>
    <col min="6419" max="6419" width="9.125" style="399" customWidth="1"/>
    <col min="6420" max="6420" width="14.375" style="399" customWidth="1"/>
    <col min="6421" max="6421" width="9.375" style="399" customWidth="1"/>
    <col min="6422" max="6422" width="8.875" style="399" customWidth="1"/>
    <col min="6423" max="6423" width="7.125" style="399" bestFit="1" customWidth="1"/>
    <col min="6424" max="6424" width="9.875" style="399" customWidth="1"/>
    <col min="6425" max="6425" width="7.125" style="399" bestFit="1" customWidth="1"/>
    <col min="6426" max="6426" width="9.625" style="399" customWidth="1"/>
    <col min="6427" max="6427" width="8.5" style="399" bestFit="1" customWidth="1"/>
    <col min="6428" max="6428" width="6.75" style="399" customWidth="1"/>
    <col min="6429" max="6429" width="10.625" style="399" customWidth="1"/>
    <col min="6430" max="6430" width="4.5" style="399" customWidth="1"/>
    <col min="6431" max="6431" width="8.75" style="399" customWidth="1"/>
    <col min="6432" max="6659" width="9" style="399"/>
    <col min="6660" max="6660" width="9.875" style="399" customWidth="1"/>
    <col min="6661" max="6661" width="4.5" style="399" customWidth="1"/>
    <col min="6662" max="6662" width="7.125" style="399" bestFit="1" customWidth="1"/>
    <col min="6663" max="6663" width="8.125" style="399" bestFit="1" customWidth="1"/>
    <col min="6664" max="6664" width="19.375" style="399" customWidth="1"/>
    <col min="6665" max="6666" width="13.125" style="399" bestFit="1" customWidth="1"/>
    <col min="6667" max="6667" width="16.25" style="399" bestFit="1" customWidth="1"/>
    <col min="6668" max="6668" width="7.375" style="399" bestFit="1" customWidth="1"/>
    <col min="6669" max="6669" width="6.375" style="399" bestFit="1" customWidth="1"/>
    <col min="6670" max="6670" width="22.875" style="399" customWidth="1"/>
    <col min="6671" max="6671" width="19.5" style="399" customWidth="1"/>
    <col min="6672" max="6673" width="9" style="399" bestFit="1" customWidth="1"/>
    <col min="6674" max="6674" width="15.75" style="399" customWidth="1"/>
    <col min="6675" max="6675" width="9.125" style="399" customWidth="1"/>
    <col min="6676" max="6676" width="14.375" style="399" customWidth="1"/>
    <col min="6677" max="6677" width="9.375" style="399" customWidth="1"/>
    <col min="6678" max="6678" width="8.875" style="399" customWidth="1"/>
    <col min="6679" max="6679" width="7.125" style="399" bestFit="1" customWidth="1"/>
    <col min="6680" max="6680" width="9.875" style="399" customWidth="1"/>
    <col min="6681" max="6681" width="7.125" style="399" bestFit="1" customWidth="1"/>
    <col min="6682" max="6682" width="9.625" style="399" customWidth="1"/>
    <col min="6683" max="6683" width="8.5" style="399" bestFit="1" customWidth="1"/>
    <col min="6684" max="6684" width="6.75" style="399" customWidth="1"/>
    <col min="6685" max="6685" width="10.625" style="399" customWidth="1"/>
    <col min="6686" max="6686" width="4.5" style="399" customWidth="1"/>
    <col min="6687" max="6687" width="8.75" style="399" customWidth="1"/>
    <col min="6688" max="6915" width="9" style="399"/>
    <col min="6916" max="6916" width="9.875" style="399" customWidth="1"/>
    <col min="6917" max="6917" width="4.5" style="399" customWidth="1"/>
    <col min="6918" max="6918" width="7.125" style="399" bestFit="1" customWidth="1"/>
    <col min="6919" max="6919" width="8.125" style="399" bestFit="1" customWidth="1"/>
    <col min="6920" max="6920" width="19.375" style="399" customWidth="1"/>
    <col min="6921" max="6922" width="13.125" style="399" bestFit="1" customWidth="1"/>
    <col min="6923" max="6923" width="16.25" style="399" bestFit="1" customWidth="1"/>
    <col min="6924" max="6924" width="7.375" style="399" bestFit="1" customWidth="1"/>
    <col min="6925" max="6925" width="6.375" style="399" bestFit="1" customWidth="1"/>
    <col min="6926" max="6926" width="22.875" style="399" customWidth="1"/>
    <col min="6927" max="6927" width="19.5" style="399" customWidth="1"/>
    <col min="6928" max="6929" width="9" style="399" bestFit="1" customWidth="1"/>
    <col min="6930" max="6930" width="15.75" style="399" customWidth="1"/>
    <col min="6931" max="6931" width="9.125" style="399" customWidth="1"/>
    <col min="6932" max="6932" width="14.375" style="399" customWidth="1"/>
    <col min="6933" max="6933" width="9.375" style="399" customWidth="1"/>
    <col min="6934" max="6934" width="8.875" style="399" customWidth="1"/>
    <col min="6935" max="6935" width="7.125" style="399" bestFit="1" customWidth="1"/>
    <col min="6936" max="6936" width="9.875" style="399" customWidth="1"/>
    <col min="6937" max="6937" width="7.125" style="399" bestFit="1" customWidth="1"/>
    <col min="6938" max="6938" width="9.625" style="399" customWidth="1"/>
    <col min="6939" max="6939" width="8.5" style="399" bestFit="1" customWidth="1"/>
    <col min="6940" max="6940" width="6.75" style="399" customWidth="1"/>
    <col min="6941" max="6941" width="10.625" style="399" customWidth="1"/>
    <col min="6942" max="6942" width="4.5" style="399" customWidth="1"/>
    <col min="6943" max="6943" width="8.75" style="399" customWidth="1"/>
    <col min="6944" max="7171" width="9" style="399"/>
    <col min="7172" max="7172" width="9.875" style="399" customWidth="1"/>
    <col min="7173" max="7173" width="4.5" style="399" customWidth="1"/>
    <col min="7174" max="7174" width="7.125" style="399" bestFit="1" customWidth="1"/>
    <col min="7175" max="7175" width="8.125" style="399" bestFit="1" customWidth="1"/>
    <col min="7176" max="7176" width="19.375" style="399" customWidth="1"/>
    <col min="7177" max="7178" width="13.125" style="399" bestFit="1" customWidth="1"/>
    <col min="7179" max="7179" width="16.25" style="399" bestFit="1" customWidth="1"/>
    <col min="7180" max="7180" width="7.375" style="399" bestFit="1" customWidth="1"/>
    <col min="7181" max="7181" width="6.375" style="399" bestFit="1" customWidth="1"/>
    <col min="7182" max="7182" width="22.875" style="399" customWidth="1"/>
    <col min="7183" max="7183" width="19.5" style="399" customWidth="1"/>
    <col min="7184" max="7185" width="9" style="399" bestFit="1" customWidth="1"/>
    <col min="7186" max="7186" width="15.75" style="399" customWidth="1"/>
    <col min="7187" max="7187" width="9.125" style="399" customWidth="1"/>
    <col min="7188" max="7188" width="14.375" style="399" customWidth="1"/>
    <col min="7189" max="7189" width="9.375" style="399" customWidth="1"/>
    <col min="7190" max="7190" width="8.875" style="399" customWidth="1"/>
    <col min="7191" max="7191" width="7.125" style="399" bestFit="1" customWidth="1"/>
    <col min="7192" max="7192" width="9.875" style="399" customWidth="1"/>
    <col min="7193" max="7193" width="7.125" style="399" bestFit="1" customWidth="1"/>
    <col min="7194" max="7194" width="9.625" style="399" customWidth="1"/>
    <col min="7195" max="7195" width="8.5" style="399" bestFit="1" customWidth="1"/>
    <col min="7196" max="7196" width="6.75" style="399" customWidth="1"/>
    <col min="7197" max="7197" width="10.625" style="399" customWidth="1"/>
    <col min="7198" max="7198" width="4.5" style="399" customWidth="1"/>
    <col min="7199" max="7199" width="8.75" style="399" customWidth="1"/>
    <col min="7200" max="7427" width="9" style="399"/>
    <col min="7428" max="7428" width="9.875" style="399" customWidth="1"/>
    <col min="7429" max="7429" width="4.5" style="399" customWidth="1"/>
    <col min="7430" max="7430" width="7.125" style="399" bestFit="1" customWidth="1"/>
    <col min="7431" max="7431" width="8.125" style="399" bestFit="1" customWidth="1"/>
    <col min="7432" max="7432" width="19.375" style="399" customWidth="1"/>
    <col min="7433" max="7434" width="13.125" style="399" bestFit="1" customWidth="1"/>
    <col min="7435" max="7435" width="16.25" style="399" bestFit="1" customWidth="1"/>
    <col min="7436" max="7436" width="7.375" style="399" bestFit="1" customWidth="1"/>
    <col min="7437" max="7437" width="6.375" style="399" bestFit="1" customWidth="1"/>
    <col min="7438" max="7438" width="22.875" style="399" customWidth="1"/>
    <col min="7439" max="7439" width="19.5" style="399" customWidth="1"/>
    <col min="7440" max="7441" width="9" style="399" bestFit="1" customWidth="1"/>
    <col min="7442" max="7442" width="15.75" style="399" customWidth="1"/>
    <col min="7443" max="7443" width="9.125" style="399" customWidth="1"/>
    <col min="7444" max="7444" width="14.375" style="399" customWidth="1"/>
    <col min="7445" max="7445" width="9.375" style="399" customWidth="1"/>
    <col min="7446" max="7446" width="8.875" style="399" customWidth="1"/>
    <col min="7447" max="7447" width="7.125" style="399" bestFit="1" customWidth="1"/>
    <col min="7448" max="7448" width="9.875" style="399" customWidth="1"/>
    <col min="7449" max="7449" width="7.125" style="399" bestFit="1" customWidth="1"/>
    <col min="7450" max="7450" width="9.625" style="399" customWidth="1"/>
    <col min="7451" max="7451" width="8.5" style="399" bestFit="1" customWidth="1"/>
    <col min="7452" max="7452" width="6.75" style="399" customWidth="1"/>
    <col min="7453" max="7453" width="10.625" style="399" customWidth="1"/>
    <col min="7454" max="7454" width="4.5" style="399" customWidth="1"/>
    <col min="7455" max="7455" width="8.75" style="399" customWidth="1"/>
    <col min="7456" max="7683" width="9" style="399"/>
    <col min="7684" max="7684" width="9.875" style="399" customWidth="1"/>
    <col min="7685" max="7685" width="4.5" style="399" customWidth="1"/>
    <col min="7686" max="7686" width="7.125" style="399" bestFit="1" customWidth="1"/>
    <col min="7687" max="7687" width="8.125" style="399" bestFit="1" customWidth="1"/>
    <col min="7688" max="7688" width="19.375" style="399" customWidth="1"/>
    <col min="7689" max="7690" width="13.125" style="399" bestFit="1" customWidth="1"/>
    <col min="7691" max="7691" width="16.25" style="399" bestFit="1" customWidth="1"/>
    <col min="7692" max="7692" width="7.375" style="399" bestFit="1" customWidth="1"/>
    <col min="7693" max="7693" width="6.375" style="399" bestFit="1" customWidth="1"/>
    <col min="7694" max="7694" width="22.875" style="399" customWidth="1"/>
    <col min="7695" max="7695" width="19.5" style="399" customWidth="1"/>
    <col min="7696" max="7697" width="9" style="399" bestFit="1" customWidth="1"/>
    <col min="7698" max="7698" width="15.75" style="399" customWidth="1"/>
    <col min="7699" max="7699" width="9.125" style="399" customWidth="1"/>
    <col min="7700" max="7700" width="14.375" style="399" customWidth="1"/>
    <col min="7701" max="7701" width="9.375" style="399" customWidth="1"/>
    <col min="7702" max="7702" width="8.875" style="399" customWidth="1"/>
    <col min="7703" max="7703" width="7.125" style="399" bestFit="1" customWidth="1"/>
    <col min="7704" max="7704" width="9.875" style="399" customWidth="1"/>
    <col min="7705" max="7705" width="7.125" style="399" bestFit="1" customWidth="1"/>
    <col min="7706" max="7706" width="9.625" style="399" customWidth="1"/>
    <col min="7707" max="7707" width="8.5" style="399" bestFit="1" customWidth="1"/>
    <col min="7708" max="7708" width="6.75" style="399" customWidth="1"/>
    <col min="7709" max="7709" width="10.625" style="399" customWidth="1"/>
    <col min="7710" max="7710" width="4.5" style="399" customWidth="1"/>
    <col min="7711" max="7711" width="8.75" style="399" customWidth="1"/>
    <col min="7712" max="7939" width="9" style="399"/>
    <col min="7940" max="7940" width="9.875" style="399" customWidth="1"/>
    <col min="7941" max="7941" width="4.5" style="399" customWidth="1"/>
    <col min="7942" max="7942" width="7.125" style="399" bestFit="1" customWidth="1"/>
    <col min="7943" max="7943" width="8.125" style="399" bestFit="1" customWidth="1"/>
    <col min="7944" max="7944" width="19.375" style="399" customWidth="1"/>
    <col min="7945" max="7946" width="13.125" style="399" bestFit="1" customWidth="1"/>
    <col min="7947" max="7947" width="16.25" style="399" bestFit="1" customWidth="1"/>
    <col min="7948" max="7948" width="7.375" style="399" bestFit="1" customWidth="1"/>
    <col min="7949" max="7949" width="6.375" style="399" bestFit="1" customWidth="1"/>
    <col min="7950" max="7950" width="22.875" style="399" customWidth="1"/>
    <col min="7951" max="7951" width="19.5" style="399" customWidth="1"/>
    <col min="7952" max="7953" width="9" style="399" bestFit="1" customWidth="1"/>
    <col min="7954" max="7954" width="15.75" style="399" customWidth="1"/>
    <col min="7955" max="7955" width="9.125" style="399" customWidth="1"/>
    <col min="7956" max="7956" width="14.375" style="399" customWidth="1"/>
    <col min="7957" max="7957" width="9.375" style="399" customWidth="1"/>
    <col min="7958" max="7958" width="8.875" style="399" customWidth="1"/>
    <col min="7959" max="7959" width="7.125" style="399" bestFit="1" customWidth="1"/>
    <col min="7960" max="7960" width="9.875" style="399" customWidth="1"/>
    <col min="7961" max="7961" width="7.125" style="399" bestFit="1" customWidth="1"/>
    <col min="7962" max="7962" width="9.625" style="399" customWidth="1"/>
    <col min="7963" max="7963" width="8.5" style="399" bestFit="1" customWidth="1"/>
    <col min="7964" max="7964" width="6.75" style="399" customWidth="1"/>
    <col min="7965" max="7965" width="10.625" style="399" customWidth="1"/>
    <col min="7966" max="7966" width="4.5" style="399" customWidth="1"/>
    <col min="7967" max="7967" width="8.75" style="399" customWidth="1"/>
    <col min="7968" max="8195" width="9" style="399"/>
    <col min="8196" max="8196" width="9.875" style="399" customWidth="1"/>
    <col min="8197" max="8197" width="4.5" style="399" customWidth="1"/>
    <col min="8198" max="8198" width="7.125" style="399" bestFit="1" customWidth="1"/>
    <col min="8199" max="8199" width="8.125" style="399" bestFit="1" customWidth="1"/>
    <col min="8200" max="8200" width="19.375" style="399" customWidth="1"/>
    <col min="8201" max="8202" width="13.125" style="399" bestFit="1" customWidth="1"/>
    <col min="8203" max="8203" width="16.25" style="399" bestFit="1" customWidth="1"/>
    <col min="8204" max="8204" width="7.375" style="399" bestFit="1" customWidth="1"/>
    <col min="8205" max="8205" width="6.375" style="399" bestFit="1" customWidth="1"/>
    <col min="8206" max="8206" width="22.875" style="399" customWidth="1"/>
    <col min="8207" max="8207" width="19.5" style="399" customWidth="1"/>
    <col min="8208" max="8209" width="9" style="399" bestFit="1" customWidth="1"/>
    <col min="8210" max="8210" width="15.75" style="399" customWidth="1"/>
    <col min="8211" max="8211" width="9.125" style="399" customWidth="1"/>
    <col min="8212" max="8212" width="14.375" style="399" customWidth="1"/>
    <col min="8213" max="8213" width="9.375" style="399" customWidth="1"/>
    <col min="8214" max="8214" width="8.875" style="399" customWidth="1"/>
    <col min="8215" max="8215" width="7.125" style="399" bestFit="1" customWidth="1"/>
    <col min="8216" max="8216" width="9.875" style="399" customWidth="1"/>
    <col min="8217" max="8217" width="7.125" style="399" bestFit="1" customWidth="1"/>
    <col min="8218" max="8218" width="9.625" style="399" customWidth="1"/>
    <col min="8219" max="8219" width="8.5" style="399" bestFit="1" customWidth="1"/>
    <col min="8220" max="8220" width="6.75" style="399" customWidth="1"/>
    <col min="8221" max="8221" width="10.625" style="399" customWidth="1"/>
    <col min="8222" max="8222" width="4.5" style="399" customWidth="1"/>
    <col min="8223" max="8223" width="8.75" style="399" customWidth="1"/>
    <col min="8224" max="8451" width="9" style="399"/>
    <col min="8452" max="8452" width="9.875" style="399" customWidth="1"/>
    <col min="8453" max="8453" width="4.5" style="399" customWidth="1"/>
    <col min="8454" max="8454" width="7.125" style="399" bestFit="1" customWidth="1"/>
    <col min="8455" max="8455" width="8.125" style="399" bestFit="1" customWidth="1"/>
    <col min="8456" max="8456" width="19.375" style="399" customWidth="1"/>
    <col min="8457" max="8458" width="13.125" style="399" bestFit="1" customWidth="1"/>
    <col min="8459" max="8459" width="16.25" style="399" bestFit="1" customWidth="1"/>
    <col min="8460" max="8460" width="7.375" style="399" bestFit="1" customWidth="1"/>
    <col min="8461" max="8461" width="6.375" style="399" bestFit="1" customWidth="1"/>
    <col min="8462" max="8462" width="22.875" style="399" customWidth="1"/>
    <col min="8463" max="8463" width="19.5" style="399" customWidth="1"/>
    <col min="8464" max="8465" width="9" style="399" bestFit="1" customWidth="1"/>
    <col min="8466" max="8466" width="15.75" style="399" customWidth="1"/>
    <col min="8467" max="8467" width="9.125" style="399" customWidth="1"/>
    <col min="8468" max="8468" width="14.375" style="399" customWidth="1"/>
    <col min="8469" max="8469" width="9.375" style="399" customWidth="1"/>
    <col min="8470" max="8470" width="8.875" style="399" customWidth="1"/>
    <col min="8471" max="8471" width="7.125" style="399" bestFit="1" customWidth="1"/>
    <col min="8472" max="8472" width="9.875" style="399" customWidth="1"/>
    <col min="8473" max="8473" width="7.125" style="399" bestFit="1" customWidth="1"/>
    <col min="8474" max="8474" width="9.625" style="399" customWidth="1"/>
    <col min="8475" max="8475" width="8.5" style="399" bestFit="1" customWidth="1"/>
    <col min="8476" max="8476" width="6.75" style="399" customWidth="1"/>
    <col min="8477" max="8477" width="10.625" style="399" customWidth="1"/>
    <col min="8478" max="8478" width="4.5" style="399" customWidth="1"/>
    <col min="8479" max="8479" width="8.75" style="399" customWidth="1"/>
    <col min="8480" max="8707" width="9" style="399"/>
    <col min="8708" max="8708" width="9.875" style="399" customWidth="1"/>
    <col min="8709" max="8709" width="4.5" style="399" customWidth="1"/>
    <col min="8710" max="8710" width="7.125" style="399" bestFit="1" customWidth="1"/>
    <col min="8711" max="8711" width="8.125" style="399" bestFit="1" customWidth="1"/>
    <col min="8712" max="8712" width="19.375" style="399" customWidth="1"/>
    <col min="8713" max="8714" width="13.125" style="399" bestFit="1" customWidth="1"/>
    <col min="8715" max="8715" width="16.25" style="399" bestFit="1" customWidth="1"/>
    <col min="8716" max="8716" width="7.375" style="399" bestFit="1" customWidth="1"/>
    <col min="8717" max="8717" width="6.375" style="399" bestFit="1" customWidth="1"/>
    <col min="8718" max="8718" width="22.875" style="399" customWidth="1"/>
    <col min="8719" max="8719" width="19.5" style="399" customWidth="1"/>
    <col min="8720" max="8721" width="9" style="399" bestFit="1" customWidth="1"/>
    <col min="8722" max="8722" width="15.75" style="399" customWidth="1"/>
    <col min="8723" max="8723" width="9.125" style="399" customWidth="1"/>
    <col min="8724" max="8724" width="14.375" style="399" customWidth="1"/>
    <col min="8725" max="8725" width="9.375" style="399" customWidth="1"/>
    <col min="8726" max="8726" width="8.875" style="399" customWidth="1"/>
    <col min="8727" max="8727" width="7.125" style="399" bestFit="1" customWidth="1"/>
    <col min="8728" max="8728" width="9.875" style="399" customWidth="1"/>
    <col min="8729" max="8729" width="7.125" style="399" bestFit="1" customWidth="1"/>
    <col min="8730" max="8730" width="9.625" style="399" customWidth="1"/>
    <col min="8731" max="8731" width="8.5" style="399" bestFit="1" customWidth="1"/>
    <col min="8732" max="8732" width="6.75" style="399" customWidth="1"/>
    <col min="8733" max="8733" width="10.625" style="399" customWidth="1"/>
    <col min="8734" max="8734" width="4.5" style="399" customWidth="1"/>
    <col min="8735" max="8735" width="8.75" style="399" customWidth="1"/>
    <col min="8736" max="8963" width="9" style="399"/>
    <col min="8964" max="8964" width="9.875" style="399" customWidth="1"/>
    <col min="8965" max="8965" width="4.5" style="399" customWidth="1"/>
    <col min="8966" max="8966" width="7.125" style="399" bestFit="1" customWidth="1"/>
    <col min="8967" max="8967" width="8.125" style="399" bestFit="1" customWidth="1"/>
    <col min="8968" max="8968" width="19.375" style="399" customWidth="1"/>
    <col min="8969" max="8970" width="13.125" style="399" bestFit="1" customWidth="1"/>
    <col min="8971" max="8971" width="16.25" style="399" bestFit="1" customWidth="1"/>
    <col min="8972" max="8972" width="7.375" style="399" bestFit="1" customWidth="1"/>
    <col min="8973" max="8973" width="6.375" style="399" bestFit="1" customWidth="1"/>
    <col min="8974" max="8974" width="22.875" style="399" customWidth="1"/>
    <col min="8975" max="8975" width="19.5" style="399" customWidth="1"/>
    <col min="8976" max="8977" width="9" style="399" bestFit="1" customWidth="1"/>
    <col min="8978" max="8978" width="15.75" style="399" customWidth="1"/>
    <col min="8979" max="8979" width="9.125" style="399" customWidth="1"/>
    <col min="8980" max="8980" width="14.375" style="399" customWidth="1"/>
    <col min="8981" max="8981" width="9.375" style="399" customWidth="1"/>
    <col min="8982" max="8982" width="8.875" style="399" customWidth="1"/>
    <col min="8983" max="8983" width="7.125" style="399" bestFit="1" customWidth="1"/>
    <col min="8984" max="8984" width="9.875" style="399" customWidth="1"/>
    <col min="8985" max="8985" width="7.125" style="399" bestFit="1" customWidth="1"/>
    <col min="8986" max="8986" width="9.625" style="399" customWidth="1"/>
    <col min="8987" max="8987" width="8.5" style="399" bestFit="1" customWidth="1"/>
    <col min="8988" max="8988" width="6.75" style="399" customWidth="1"/>
    <col min="8989" max="8989" width="10.625" style="399" customWidth="1"/>
    <col min="8990" max="8990" width="4.5" style="399" customWidth="1"/>
    <col min="8991" max="8991" width="8.75" style="399" customWidth="1"/>
    <col min="8992" max="9219" width="9" style="399"/>
    <col min="9220" max="9220" width="9.875" style="399" customWidth="1"/>
    <col min="9221" max="9221" width="4.5" style="399" customWidth="1"/>
    <col min="9222" max="9222" width="7.125" style="399" bestFit="1" customWidth="1"/>
    <col min="9223" max="9223" width="8.125" style="399" bestFit="1" customWidth="1"/>
    <col min="9224" max="9224" width="19.375" style="399" customWidth="1"/>
    <col min="9225" max="9226" width="13.125" style="399" bestFit="1" customWidth="1"/>
    <col min="9227" max="9227" width="16.25" style="399" bestFit="1" customWidth="1"/>
    <col min="9228" max="9228" width="7.375" style="399" bestFit="1" customWidth="1"/>
    <col min="9229" max="9229" width="6.375" style="399" bestFit="1" customWidth="1"/>
    <col min="9230" max="9230" width="22.875" style="399" customWidth="1"/>
    <col min="9231" max="9231" width="19.5" style="399" customWidth="1"/>
    <col min="9232" max="9233" width="9" style="399" bestFit="1" customWidth="1"/>
    <col min="9234" max="9234" width="15.75" style="399" customWidth="1"/>
    <col min="9235" max="9235" width="9.125" style="399" customWidth="1"/>
    <col min="9236" max="9236" width="14.375" style="399" customWidth="1"/>
    <col min="9237" max="9237" width="9.375" style="399" customWidth="1"/>
    <col min="9238" max="9238" width="8.875" style="399" customWidth="1"/>
    <col min="9239" max="9239" width="7.125" style="399" bestFit="1" customWidth="1"/>
    <col min="9240" max="9240" width="9.875" style="399" customWidth="1"/>
    <col min="9241" max="9241" width="7.125" style="399" bestFit="1" customWidth="1"/>
    <col min="9242" max="9242" width="9.625" style="399" customWidth="1"/>
    <col min="9243" max="9243" width="8.5" style="399" bestFit="1" customWidth="1"/>
    <col min="9244" max="9244" width="6.75" style="399" customWidth="1"/>
    <col min="9245" max="9245" width="10.625" style="399" customWidth="1"/>
    <col min="9246" max="9246" width="4.5" style="399" customWidth="1"/>
    <col min="9247" max="9247" width="8.75" style="399" customWidth="1"/>
    <col min="9248" max="9475" width="9" style="399"/>
    <col min="9476" max="9476" width="9.875" style="399" customWidth="1"/>
    <col min="9477" max="9477" width="4.5" style="399" customWidth="1"/>
    <col min="9478" max="9478" width="7.125" style="399" bestFit="1" customWidth="1"/>
    <col min="9479" max="9479" width="8.125" style="399" bestFit="1" customWidth="1"/>
    <col min="9480" max="9480" width="19.375" style="399" customWidth="1"/>
    <col min="9481" max="9482" width="13.125" style="399" bestFit="1" customWidth="1"/>
    <col min="9483" max="9483" width="16.25" style="399" bestFit="1" customWidth="1"/>
    <col min="9484" max="9484" width="7.375" style="399" bestFit="1" customWidth="1"/>
    <col min="9485" max="9485" width="6.375" style="399" bestFit="1" customWidth="1"/>
    <col min="9486" max="9486" width="22.875" style="399" customWidth="1"/>
    <col min="9487" max="9487" width="19.5" style="399" customWidth="1"/>
    <col min="9488" max="9489" width="9" style="399" bestFit="1" customWidth="1"/>
    <col min="9490" max="9490" width="15.75" style="399" customWidth="1"/>
    <col min="9491" max="9491" width="9.125" style="399" customWidth="1"/>
    <col min="9492" max="9492" width="14.375" style="399" customWidth="1"/>
    <col min="9493" max="9493" width="9.375" style="399" customWidth="1"/>
    <col min="9494" max="9494" width="8.875" style="399" customWidth="1"/>
    <col min="9495" max="9495" width="7.125" style="399" bestFit="1" customWidth="1"/>
    <col min="9496" max="9496" width="9.875" style="399" customWidth="1"/>
    <col min="9497" max="9497" width="7.125" style="399" bestFit="1" customWidth="1"/>
    <col min="9498" max="9498" width="9.625" style="399" customWidth="1"/>
    <col min="9499" max="9499" width="8.5" style="399" bestFit="1" customWidth="1"/>
    <col min="9500" max="9500" width="6.75" style="399" customWidth="1"/>
    <col min="9501" max="9501" width="10.625" style="399" customWidth="1"/>
    <col min="9502" max="9502" width="4.5" style="399" customWidth="1"/>
    <col min="9503" max="9503" width="8.75" style="399" customWidth="1"/>
    <col min="9504" max="9731" width="9" style="399"/>
    <col min="9732" max="9732" width="9.875" style="399" customWidth="1"/>
    <col min="9733" max="9733" width="4.5" style="399" customWidth="1"/>
    <col min="9734" max="9734" width="7.125" style="399" bestFit="1" customWidth="1"/>
    <col min="9735" max="9735" width="8.125" style="399" bestFit="1" customWidth="1"/>
    <col min="9736" max="9736" width="19.375" style="399" customWidth="1"/>
    <col min="9737" max="9738" width="13.125" style="399" bestFit="1" customWidth="1"/>
    <col min="9739" max="9739" width="16.25" style="399" bestFit="1" customWidth="1"/>
    <col min="9740" max="9740" width="7.375" style="399" bestFit="1" customWidth="1"/>
    <col min="9741" max="9741" width="6.375" style="399" bestFit="1" customWidth="1"/>
    <col min="9742" max="9742" width="22.875" style="399" customWidth="1"/>
    <col min="9743" max="9743" width="19.5" style="399" customWidth="1"/>
    <col min="9744" max="9745" width="9" style="399" bestFit="1" customWidth="1"/>
    <col min="9746" max="9746" width="15.75" style="399" customWidth="1"/>
    <col min="9747" max="9747" width="9.125" style="399" customWidth="1"/>
    <col min="9748" max="9748" width="14.375" style="399" customWidth="1"/>
    <col min="9749" max="9749" width="9.375" style="399" customWidth="1"/>
    <col min="9750" max="9750" width="8.875" style="399" customWidth="1"/>
    <col min="9751" max="9751" width="7.125" style="399" bestFit="1" customWidth="1"/>
    <col min="9752" max="9752" width="9.875" style="399" customWidth="1"/>
    <col min="9753" max="9753" width="7.125" style="399" bestFit="1" customWidth="1"/>
    <col min="9754" max="9754" width="9.625" style="399" customWidth="1"/>
    <col min="9755" max="9755" width="8.5" style="399" bestFit="1" customWidth="1"/>
    <col min="9756" max="9756" width="6.75" style="399" customWidth="1"/>
    <col min="9757" max="9757" width="10.625" style="399" customWidth="1"/>
    <col min="9758" max="9758" width="4.5" style="399" customWidth="1"/>
    <col min="9759" max="9759" width="8.75" style="399" customWidth="1"/>
    <col min="9760" max="9987" width="9" style="399"/>
    <col min="9988" max="9988" width="9.875" style="399" customWidth="1"/>
    <col min="9989" max="9989" width="4.5" style="399" customWidth="1"/>
    <col min="9990" max="9990" width="7.125" style="399" bestFit="1" customWidth="1"/>
    <col min="9991" max="9991" width="8.125" style="399" bestFit="1" customWidth="1"/>
    <col min="9992" max="9992" width="19.375" style="399" customWidth="1"/>
    <col min="9993" max="9994" width="13.125" style="399" bestFit="1" customWidth="1"/>
    <col min="9995" max="9995" width="16.25" style="399" bestFit="1" customWidth="1"/>
    <col min="9996" max="9996" width="7.375" style="399" bestFit="1" customWidth="1"/>
    <col min="9997" max="9997" width="6.375" style="399" bestFit="1" customWidth="1"/>
    <col min="9998" max="9998" width="22.875" style="399" customWidth="1"/>
    <col min="9999" max="9999" width="19.5" style="399" customWidth="1"/>
    <col min="10000" max="10001" width="9" style="399" bestFit="1" customWidth="1"/>
    <col min="10002" max="10002" width="15.75" style="399" customWidth="1"/>
    <col min="10003" max="10003" width="9.125" style="399" customWidth="1"/>
    <col min="10004" max="10004" width="14.375" style="399" customWidth="1"/>
    <col min="10005" max="10005" width="9.375" style="399" customWidth="1"/>
    <col min="10006" max="10006" width="8.875" style="399" customWidth="1"/>
    <col min="10007" max="10007" width="7.125" style="399" bestFit="1" customWidth="1"/>
    <col min="10008" max="10008" width="9.875" style="399" customWidth="1"/>
    <col min="10009" max="10009" width="7.125" style="399" bestFit="1" customWidth="1"/>
    <col min="10010" max="10010" width="9.625" style="399" customWidth="1"/>
    <col min="10011" max="10011" width="8.5" style="399" bestFit="1" customWidth="1"/>
    <col min="10012" max="10012" width="6.75" style="399" customWidth="1"/>
    <col min="10013" max="10013" width="10.625" style="399" customWidth="1"/>
    <col min="10014" max="10014" width="4.5" style="399" customWidth="1"/>
    <col min="10015" max="10015" width="8.75" style="399" customWidth="1"/>
    <col min="10016" max="10243" width="9" style="399"/>
    <col min="10244" max="10244" width="9.875" style="399" customWidth="1"/>
    <col min="10245" max="10245" width="4.5" style="399" customWidth="1"/>
    <col min="10246" max="10246" width="7.125" style="399" bestFit="1" customWidth="1"/>
    <col min="10247" max="10247" width="8.125" style="399" bestFit="1" customWidth="1"/>
    <col min="10248" max="10248" width="19.375" style="399" customWidth="1"/>
    <col min="10249" max="10250" width="13.125" style="399" bestFit="1" customWidth="1"/>
    <col min="10251" max="10251" width="16.25" style="399" bestFit="1" customWidth="1"/>
    <col min="10252" max="10252" width="7.375" style="399" bestFit="1" customWidth="1"/>
    <col min="10253" max="10253" width="6.375" style="399" bestFit="1" customWidth="1"/>
    <col min="10254" max="10254" width="22.875" style="399" customWidth="1"/>
    <col min="10255" max="10255" width="19.5" style="399" customWidth="1"/>
    <col min="10256" max="10257" width="9" style="399" bestFit="1" customWidth="1"/>
    <col min="10258" max="10258" width="15.75" style="399" customWidth="1"/>
    <col min="10259" max="10259" width="9.125" style="399" customWidth="1"/>
    <col min="10260" max="10260" width="14.375" style="399" customWidth="1"/>
    <col min="10261" max="10261" width="9.375" style="399" customWidth="1"/>
    <col min="10262" max="10262" width="8.875" style="399" customWidth="1"/>
    <col min="10263" max="10263" width="7.125" style="399" bestFit="1" customWidth="1"/>
    <col min="10264" max="10264" width="9.875" style="399" customWidth="1"/>
    <col min="10265" max="10265" width="7.125" style="399" bestFit="1" customWidth="1"/>
    <col min="10266" max="10266" width="9.625" style="399" customWidth="1"/>
    <col min="10267" max="10267" width="8.5" style="399" bestFit="1" customWidth="1"/>
    <col min="10268" max="10268" width="6.75" style="399" customWidth="1"/>
    <col min="10269" max="10269" width="10.625" style="399" customWidth="1"/>
    <col min="10270" max="10270" width="4.5" style="399" customWidth="1"/>
    <col min="10271" max="10271" width="8.75" style="399" customWidth="1"/>
    <col min="10272" max="10499" width="9" style="399"/>
    <col min="10500" max="10500" width="9.875" style="399" customWidth="1"/>
    <col min="10501" max="10501" width="4.5" style="399" customWidth="1"/>
    <col min="10502" max="10502" width="7.125" style="399" bestFit="1" customWidth="1"/>
    <col min="10503" max="10503" width="8.125" style="399" bestFit="1" customWidth="1"/>
    <col min="10504" max="10504" width="19.375" style="399" customWidth="1"/>
    <col min="10505" max="10506" width="13.125" style="399" bestFit="1" customWidth="1"/>
    <col min="10507" max="10507" width="16.25" style="399" bestFit="1" customWidth="1"/>
    <col min="10508" max="10508" width="7.375" style="399" bestFit="1" customWidth="1"/>
    <col min="10509" max="10509" width="6.375" style="399" bestFit="1" customWidth="1"/>
    <col min="10510" max="10510" width="22.875" style="399" customWidth="1"/>
    <col min="10511" max="10511" width="19.5" style="399" customWidth="1"/>
    <col min="10512" max="10513" width="9" style="399" bestFit="1" customWidth="1"/>
    <col min="10514" max="10514" width="15.75" style="399" customWidth="1"/>
    <col min="10515" max="10515" width="9.125" style="399" customWidth="1"/>
    <col min="10516" max="10516" width="14.375" style="399" customWidth="1"/>
    <col min="10517" max="10517" width="9.375" style="399" customWidth="1"/>
    <col min="10518" max="10518" width="8.875" style="399" customWidth="1"/>
    <col min="10519" max="10519" width="7.125" style="399" bestFit="1" customWidth="1"/>
    <col min="10520" max="10520" width="9.875" style="399" customWidth="1"/>
    <col min="10521" max="10521" width="7.125" style="399" bestFit="1" customWidth="1"/>
    <col min="10522" max="10522" width="9.625" style="399" customWidth="1"/>
    <col min="10523" max="10523" width="8.5" style="399" bestFit="1" customWidth="1"/>
    <col min="10524" max="10524" width="6.75" style="399" customWidth="1"/>
    <col min="10525" max="10525" width="10.625" style="399" customWidth="1"/>
    <col min="10526" max="10526" width="4.5" style="399" customWidth="1"/>
    <col min="10527" max="10527" width="8.75" style="399" customWidth="1"/>
    <col min="10528" max="10755" width="9" style="399"/>
    <col min="10756" max="10756" width="9.875" style="399" customWidth="1"/>
    <col min="10757" max="10757" width="4.5" style="399" customWidth="1"/>
    <col min="10758" max="10758" width="7.125" style="399" bestFit="1" customWidth="1"/>
    <col min="10759" max="10759" width="8.125" style="399" bestFit="1" customWidth="1"/>
    <col min="10760" max="10760" width="19.375" style="399" customWidth="1"/>
    <col min="10761" max="10762" width="13.125" style="399" bestFit="1" customWidth="1"/>
    <col min="10763" max="10763" width="16.25" style="399" bestFit="1" customWidth="1"/>
    <col min="10764" max="10764" width="7.375" style="399" bestFit="1" customWidth="1"/>
    <col min="10765" max="10765" width="6.375" style="399" bestFit="1" customWidth="1"/>
    <col min="10766" max="10766" width="22.875" style="399" customWidth="1"/>
    <col min="10767" max="10767" width="19.5" style="399" customWidth="1"/>
    <col min="10768" max="10769" width="9" style="399" bestFit="1" customWidth="1"/>
    <col min="10770" max="10770" width="15.75" style="399" customWidth="1"/>
    <col min="10771" max="10771" width="9.125" style="399" customWidth="1"/>
    <col min="10772" max="10772" width="14.375" style="399" customWidth="1"/>
    <col min="10773" max="10773" width="9.375" style="399" customWidth="1"/>
    <col min="10774" max="10774" width="8.875" style="399" customWidth="1"/>
    <col min="10775" max="10775" width="7.125" style="399" bestFit="1" customWidth="1"/>
    <col min="10776" max="10776" width="9.875" style="399" customWidth="1"/>
    <col min="10777" max="10777" width="7.125" style="399" bestFit="1" customWidth="1"/>
    <col min="10778" max="10778" width="9.625" style="399" customWidth="1"/>
    <col min="10779" max="10779" width="8.5" style="399" bestFit="1" customWidth="1"/>
    <col min="10780" max="10780" width="6.75" style="399" customWidth="1"/>
    <col min="10781" max="10781" width="10.625" style="399" customWidth="1"/>
    <col min="10782" max="10782" width="4.5" style="399" customWidth="1"/>
    <col min="10783" max="10783" width="8.75" style="399" customWidth="1"/>
    <col min="10784" max="11011" width="9" style="399"/>
    <col min="11012" max="11012" width="9.875" style="399" customWidth="1"/>
    <col min="11013" max="11013" width="4.5" style="399" customWidth="1"/>
    <col min="11014" max="11014" width="7.125" style="399" bestFit="1" customWidth="1"/>
    <col min="11015" max="11015" width="8.125" style="399" bestFit="1" customWidth="1"/>
    <col min="11016" max="11016" width="19.375" style="399" customWidth="1"/>
    <col min="11017" max="11018" width="13.125" style="399" bestFit="1" customWidth="1"/>
    <col min="11019" max="11019" width="16.25" style="399" bestFit="1" customWidth="1"/>
    <col min="11020" max="11020" width="7.375" style="399" bestFit="1" customWidth="1"/>
    <col min="11021" max="11021" width="6.375" style="399" bestFit="1" customWidth="1"/>
    <col min="11022" max="11022" width="22.875" style="399" customWidth="1"/>
    <col min="11023" max="11023" width="19.5" style="399" customWidth="1"/>
    <col min="11024" max="11025" width="9" style="399" bestFit="1" customWidth="1"/>
    <col min="11026" max="11026" width="15.75" style="399" customWidth="1"/>
    <col min="11027" max="11027" width="9.125" style="399" customWidth="1"/>
    <col min="11028" max="11028" width="14.375" style="399" customWidth="1"/>
    <col min="11029" max="11029" width="9.375" style="399" customWidth="1"/>
    <col min="11030" max="11030" width="8.875" style="399" customWidth="1"/>
    <col min="11031" max="11031" width="7.125" style="399" bestFit="1" customWidth="1"/>
    <col min="11032" max="11032" width="9.875" style="399" customWidth="1"/>
    <col min="11033" max="11033" width="7.125" style="399" bestFit="1" customWidth="1"/>
    <col min="11034" max="11034" width="9.625" style="399" customWidth="1"/>
    <col min="11035" max="11035" width="8.5" style="399" bestFit="1" customWidth="1"/>
    <col min="11036" max="11036" width="6.75" style="399" customWidth="1"/>
    <col min="11037" max="11037" width="10.625" style="399" customWidth="1"/>
    <col min="11038" max="11038" width="4.5" style="399" customWidth="1"/>
    <col min="11039" max="11039" width="8.75" style="399" customWidth="1"/>
    <col min="11040" max="11267" width="9" style="399"/>
    <col min="11268" max="11268" width="9.875" style="399" customWidth="1"/>
    <col min="11269" max="11269" width="4.5" style="399" customWidth="1"/>
    <col min="11270" max="11270" width="7.125" style="399" bestFit="1" customWidth="1"/>
    <col min="11271" max="11271" width="8.125" style="399" bestFit="1" customWidth="1"/>
    <col min="11272" max="11272" width="19.375" style="399" customWidth="1"/>
    <col min="11273" max="11274" width="13.125" style="399" bestFit="1" customWidth="1"/>
    <col min="11275" max="11275" width="16.25" style="399" bestFit="1" customWidth="1"/>
    <col min="11276" max="11276" width="7.375" style="399" bestFit="1" customWidth="1"/>
    <col min="11277" max="11277" width="6.375" style="399" bestFit="1" customWidth="1"/>
    <col min="11278" max="11278" width="22.875" style="399" customWidth="1"/>
    <col min="11279" max="11279" width="19.5" style="399" customWidth="1"/>
    <col min="11280" max="11281" width="9" style="399" bestFit="1" customWidth="1"/>
    <col min="11282" max="11282" width="15.75" style="399" customWidth="1"/>
    <col min="11283" max="11283" width="9.125" style="399" customWidth="1"/>
    <col min="11284" max="11284" width="14.375" style="399" customWidth="1"/>
    <col min="11285" max="11285" width="9.375" style="399" customWidth="1"/>
    <col min="11286" max="11286" width="8.875" style="399" customWidth="1"/>
    <col min="11287" max="11287" width="7.125" style="399" bestFit="1" customWidth="1"/>
    <col min="11288" max="11288" width="9.875" style="399" customWidth="1"/>
    <col min="11289" max="11289" width="7.125" style="399" bestFit="1" customWidth="1"/>
    <col min="11290" max="11290" width="9.625" style="399" customWidth="1"/>
    <col min="11291" max="11291" width="8.5" style="399" bestFit="1" customWidth="1"/>
    <col min="11292" max="11292" width="6.75" style="399" customWidth="1"/>
    <col min="11293" max="11293" width="10.625" style="399" customWidth="1"/>
    <col min="11294" max="11294" width="4.5" style="399" customWidth="1"/>
    <col min="11295" max="11295" width="8.75" style="399" customWidth="1"/>
    <col min="11296" max="11523" width="9" style="399"/>
    <col min="11524" max="11524" width="9.875" style="399" customWidth="1"/>
    <col min="11525" max="11525" width="4.5" style="399" customWidth="1"/>
    <col min="11526" max="11526" width="7.125" style="399" bestFit="1" customWidth="1"/>
    <col min="11527" max="11527" width="8.125" style="399" bestFit="1" customWidth="1"/>
    <col min="11528" max="11528" width="19.375" style="399" customWidth="1"/>
    <col min="11529" max="11530" width="13.125" style="399" bestFit="1" customWidth="1"/>
    <col min="11531" max="11531" width="16.25" style="399" bestFit="1" customWidth="1"/>
    <col min="11532" max="11532" width="7.375" style="399" bestFit="1" customWidth="1"/>
    <col min="11533" max="11533" width="6.375" style="399" bestFit="1" customWidth="1"/>
    <col min="11534" max="11534" width="22.875" style="399" customWidth="1"/>
    <col min="11535" max="11535" width="19.5" style="399" customWidth="1"/>
    <col min="11536" max="11537" width="9" style="399" bestFit="1" customWidth="1"/>
    <col min="11538" max="11538" width="15.75" style="399" customWidth="1"/>
    <col min="11539" max="11539" width="9.125" style="399" customWidth="1"/>
    <col min="11540" max="11540" width="14.375" style="399" customWidth="1"/>
    <col min="11541" max="11541" width="9.375" style="399" customWidth="1"/>
    <col min="11542" max="11542" width="8.875" style="399" customWidth="1"/>
    <col min="11543" max="11543" width="7.125" style="399" bestFit="1" customWidth="1"/>
    <col min="11544" max="11544" width="9.875" style="399" customWidth="1"/>
    <col min="11545" max="11545" width="7.125" style="399" bestFit="1" customWidth="1"/>
    <col min="11546" max="11546" width="9.625" style="399" customWidth="1"/>
    <col min="11547" max="11547" width="8.5" style="399" bestFit="1" customWidth="1"/>
    <col min="11548" max="11548" width="6.75" style="399" customWidth="1"/>
    <col min="11549" max="11549" width="10.625" style="399" customWidth="1"/>
    <col min="11550" max="11550" width="4.5" style="399" customWidth="1"/>
    <col min="11551" max="11551" width="8.75" style="399" customWidth="1"/>
    <col min="11552" max="11779" width="9" style="399"/>
    <col min="11780" max="11780" width="9.875" style="399" customWidth="1"/>
    <col min="11781" max="11781" width="4.5" style="399" customWidth="1"/>
    <col min="11782" max="11782" width="7.125" style="399" bestFit="1" customWidth="1"/>
    <col min="11783" max="11783" width="8.125" style="399" bestFit="1" customWidth="1"/>
    <col min="11784" max="11784" width="19.375" style="399" customWidth="1"/>
    <col min="11785" max="11786" width="13.125" style="399" bestFit="1" customWidth="1"/>
    <col min="11787" max="11787" width="16.25" style="399" bestFit="1" customWidth="1"/>
    <col min="11788" max="11788" width="7.375" style="399" bestFit="1" customWidth="1"/>
    <col min="11789" max="11789" width="6.375" style="399" bestFit="1" customWidth="1"/>
    <col min="11790" max="11790" width="22.875" style="399" customWidth="1"/>
    <col min="11791" max="11791" width="19.5" style="399" customWidth="1"/>
    <col min="11792" max="11793" width="9" style="399" bestFit="1" customWidth="1"/>
    <col min="11794" max="11794" width="15.75" style="399" customWidth="1"/>
    <col min="11795" max="11795" width="9.125" style="399" customWidth="1"/>
    <col min="11796" max="11796" width="14.375" style="399" customWidth="1"/>
    <col min="11797" max="11797" width="9.375" style="399" customWidth="1"/>
    <col min="11798" max="11798" width="8.875" style="399" customWidth="1"/>
    <col min="11799" max="11799" width="7.125" style="399" bestFit="1" customWidth="1"/>
    <col min="11800" max="11800" width="9.875" style="399" customWidth="1"/>
    <col min="11801" max="11801" width="7.125" style="399" bestFit="1" customWidth="1"/>
    <col min="11802" max="11802" width="9.625" style="399" customWidth="1"/>
    <col min="11803" max="11803" width="8.5" style="399" bestFit="1" customWidth="1"/>
    <col min="11804" max="11804" width="6.75" style="399" customWidth="1"/>
    <col min="11805" max="11805" width="10.625" style="399" customWidth="1"/>
    <col min="11806" max="11806" width="4.5" style="399" customWidth="1"/>
    <col min="11807" max="11807" width="8.75" style="399" customWidth="1"/>
    <col min="11808" max="12035" width="9" style="399"/>
    <col min="12036" max="12036" width="9.875" style="399" customWidth="1"/>
    <col min="12037" max="12037" width="4.5" style="399" customWidth="1"/>
    <col min="12038" max="12038" width="7.125" style="399" bestFit="1" customWidth="1"/>
    <col min="12039" max="12039" width="8.125" style="399" bestFit="1" customWidth="1"/>
    <col min="12040" max="12040" width="19.375" style="399" customWidth="1"/>
    <col min="12041" max="12042" width="13.125" style="399" bestFit="1" customWidth="1"/>
    <col min="12043" max="12043" width="16.25" style="399" bestFit="1" customWidth="1"/>
    <col min="12044" max="12044" width="7.375" style="399" bestFit="1" customWidth="1"/>
    <col min="12045" max="12045" width="6.375" style="399" bestFit="1" customWidth="1"/>
    <col min="12046" max="12046" width="22.875" style="399" customWidth="1"/>
    <col min="12047" max="12047" width="19.5" style="399" customWidth="1"/>
    <col min="12048" max="12049" width="9" style="399" bestFit="1" customWidth="1"/>
    <col min="12050" max="12050" width="15.75" style="399" customWidth="1"/>
    <col min="12051" max="12051" width="9.125" style="399" customWidth="1"/>
    <col min="12052" max="12052" width="14.375" style="399" customWidth="1"/>
    <col min="12053" max="12053" width="9.375" style="399" customWidth="1"/>
    <col min="12054" max="12054" width="8.875" style="399" customWidth="1"/>
    <col min="12055" max="12055" width="7.125" style="399" bestFit="1" customWidth="1"/>
    <col min="12056" max="12056" width="9.875" style="399" customWidth="1"/>
    <col min="12057" max="12057" width="7.125" style="399" bestFit="1" customWidth="1"/>
    <col min="12058" max="12058" width="9.625" style="399" customWidth="1"/>
    <col min="12059" max="12059" width="8.5" style="399" bestFit="1" customWidth="1"/>
    <col min="12060" max="12060" width="6.75" style="399" customWidth="1"/>
    <col min="12061" max="12061" width="10.625" style="399" customWidth="1"/>
    <col min="12062" max="12062" width="4.5" style="399" customWidth="1"/>
    <col min="12063" max="12063" width="8.75" style="399" customWidth="1"/>
    <col min="12064" max="12291" width="9" style="399"/>
    <col min="12292" max="12292" width="9.875" style="399" customWidth="1"/>
    <col min="12293" max="12293" width="4.5" style="399" customWidth="1"/>
    <col min="12294" max="12294" width="7.125" style="399" bestFit="1" customWidth="1"/>
    <col min="12295" max="12295" width="8.125" style="399" bestFit="1" customWidth="1"/>
    <col min="12296" max="12296" width="19.375" style="399" customWidth="1"/>
    <col min="12297" max="12298" width="13.125" style="399" bestFit="1" customWidth="1"/>
    <col min="12299" max="12299" width="16.25" style="399" bestFit="1" customWidth="1"/>
    <col min="12300" max="12300" width="7.375" style="399" bestFit="1" customWidth="1"/>
    <col min="12301" max="12301" width="6.375" style="399" bestFit="1" customWidth="1"/>
    <col min="12302" max="12302" width="22.875" style="399" customWidth="1"/>
    <col min="12303" max="12303" width="19.5" style="399" customWidth="1"/>
    <col min="12304" max="12305" width="9" style="399" bestFit="1" customWidth="1"/>
    <col min="12306" max="12306" width="15.75" style="399" customWidth="1"/>
    <col min="12307" max="12307" width="9.125" style="399" customWidth="1"/>
    <col min="12308" max="12308" width="14.375" style="399" customWidth="1"/>
    <col min="12309" max="12309" width="9.375" style="399" customWidth="1"/>
    <col min="12310" max="12310" width="8.875" style="399" customWidth="1"/>
    <col min="12311" max="12311" width="7.125" style="399" bestFit="1" customWidth="1"/>
    <col min="12312" max="12312" width="9.875" style="399" customWidth="1"/>
    <col min="12313" max="12313" width="7.125" style="399" bestFit="1" customWidth="1"/>
    <col min="12314" max="12314" width="9.625" style="399" customWidth="1"/>
    <col min="12315" max="12315" width="8.5" style="399" bestFit="1" customWidth="1"/>
    <col min="12316" max="12316" width="6.75" style="399" customWidth="1"/>
    <col min="12317" max="12317" width="10.625" style="399" customWidth="1"/>
    <col min="12318" max="12318" width="4.5" style="399" customWidth="1"/>
    <col min="12319" max="12319" width="8.75" style="399" customWidth="1"/>
    <col min="12320" max="12547" width="9" style="399"/>
    <col min="12548" max="12548" width="9.875" style="399" customWidth="1"/>
    <col min="12549" max="12549" width="4.5" style="399" customWidth="1"/>
    <col min="12550" max="12550" width="7.125" style="399" bestFit="1" customWidth="1"/>
    <col min="12551" max="12551" width="8.125" style="399" bestFit="1" customWidth="1"/>
    <col min="12552" max="12552" width="19.375" style="399" customWidth="1"/>
    <col min="12553" max="12554" width="13.125" style="399" bestFit="1" customWidth="1"/>
    <col min="12555" max="12555" width="16.25" style="399" bestFit="1" customWidth="1"/>
    <col min="12556" max="12556" width="7.375" style="399" bestFit="1" customWidth="1"/>
    <col min="12557" max="12557" width="6.375" style="399" bestFit="1" customWidth="1"/>
    <col min="12558" max="12558" width="22.875" style="399" customWidth="1"/>
    <col min="12559" max="12559" width="19.5" style="399" customWidth="1"/>
    <col min="12560" max="12561" width="9" style="399" bestFit="1" customWidth="1"/>
    <col min="12562" max="12562" width="15.75" style="399" customWidth="1"/>
    <col min="12563" max="12563" width="9.125" style="399" customWidth="1"/>
    <col min="12564" max="12564" width="14.375" style="399" customWidth="1"/>
    <col min="12565" max="12565" width="9.375" style="399" customWidth="1"/>
    <col min="12566" max="12566" width="8.875" style="399" customWidth="1"/>
    <col min="12567" max="12567" width="7.125" style="399" bestFit="1" customWidth="1"/>
    <col min="12568" max="12568" width="9.875" style="399" customWidth="1"/>
    <col min="12569" max="12569" width="7.125" style="399" bestFit="1" customWidth="1"/>
    <col min="12570" max="12570" width="9.625" style="399" customWidth="1"/>
    <col min="12571" max="12571" width="8.5" style="399" bestFit="1" customWidth="1"/>
    <col min="12572" max="12572" width="6.75" style="399" customWidth="1"/>
    <col min="12573" max="12573" width="10.625" style="399" customWidth="1"/>
    <col min="12574" max="12574" width="4.5" style="399" customWidth="1"/>
    <col min="12575" max="12575" width="8.75" style="399" customWidth="1"/>
    <col min="12576" max="12803" width="9" style="399"/>
    <col min="12804" max="12804" width="9.875" style="399" customWidth="1"/>
    <col min="12805" max="12805" width="4.5" style="399" customWidth="1"/>
    <col min="12806" max="12806" width="7.125" style="399" bestFit="1" customWidth="1"/>
    <col min="12807" max="12807" width="8.125" style="399" bestFit="1" customWidth="1"/>
    <col min="12808" max="12808" width="19.375" style="399" customWidth="1"/>
    <col min="12809" max="12810" width="13.125" style="399" bestFit="1" customWidth="1"/>
    <col min="12811" max="12811" width="16.25" style="399" bestFit="1" customWidth="1"/>
    <col min="12812" max="12812" width="7.375" style="399" bestFit="1" customWidth="1"/>
    <col min="12813" max="12813" width="6.375" style="399" bestFit="1" customWidth="1"/>
    <col min="12814" max="12814" width="22.875" style="399" customWidth="1"/>
    <col min="12815" max="12815" width="19.5" style="399" customWidth="1"/>
    <col min="12816" max="12817" width="9" style="399" bestFit="1" customWidth="1"/>
    <col min="12818" max="12818" width="15.75" style="399" customWidth="1"/>
    <col min="12819" max="12819" width="9.125" style="399" customWidth="1"/>
    <col min="12820" max="12820" width="14.375" style="399" customWidth="1"/>
    <col min="12821" max="12821" width="9.375" style="399" customWidth="1"/>
    <col min="12822" max="12822" width="8.875" style="399" customWidth="1"/>
    <col min="12823" max="12823" width="7.125" style="399" bestFit="1" customWidth="1"/>
    <col min="12824" max="12824" width="9.875" style="399" customWidth="1"/>
    <col min="12825" max="12825" width="7.125" style="399" bestFit="1" customWidth="1"/>
    <col min="12826" max="12826" width="9.625" style="399" customWidth="1"/>
    <col min="12827" max="12827" width="8.5" style="399" bestFit="1" customWidth="1"/>
    <col min="12828" max="12828" width="6.75" style="399" customWidth="1"/>
    <col min="12829" max="12829" width="10.625" style="399" customWidth="1"/>
    <col min="12830" max="12830" width="4.5" style="399" customWidth="1"/>
    <col min="12831" max="12831" width="8.75" style="399" customWidth="1"/>
    <col min="12832" max="13059" width="9" style="399"/>
    <col min="13060" max="13060" width="9.875" style="399" customWidth="1"/>
    <col min="13061" max="13061" width="4.5" style="399" customWidth="1"/>
    <col min="13062" max="13062" width="7.125" style="399" bestFit="1" customWidth="1"/>
    <col min="13063" max="13063" width="8.125" style="399" bestFit="1" customWidth="1"/>
    <col min="13064" max="13064" width="19.375" style="399" customWidth="1"/>
    <col min="13065" max="13066" width="13.125" style="399" bestFit="1" customWidth="1"/>
    <col min="13067" max="13067" width="16.25" style="399" bestFit="1" customWidth="1"/>
    <col min="13068" max="13068" width="7.375" style="399" bestFit="1" customWidth="1"/>
    <col min="13069" max="13069" width="6.375" style="399" bestFit="1" customWidth="1"/>
    <col min="13070" max="13070" width="22.875" style="399" customWidth="1"/>
    <col min="13071" max="13071" width="19.5" style="399" customWidth="1"/>
    <col min="13072" max="13073" width="9" style="399" bestFit="1" customWidth="1"/>
    <col min="13074" max="13074" width="15.75" style="399" customWidth="1"/>
    <col min="13075" max="13075" width="9.125" style="399" customWidth="1"/>
    <col min="13076" max="13076" width="14.375" style="399" customWidth="1"/>
    <col min="13077" max="13077" width="9.375" style="399" customWidth="1"/>
    <col min="13078" max="13078" width="8.875" style="399" customWidth="1"/>
    <col min="13079" max="13079" width="7.125" style="399" bestFit="1" customWidth="1"/>
    <col min="13080" max="13080" width="9.875" style="399" customWidth="1"/>
    <col min="13081" max="13081" width="7.125" style="399" bestFit="1" customWidth="1"/>
    <col min="13082" max="13082" width="9.625" style="399" customWidth="1"/>
    <col min="13083" max="13083" width="8.5" style="399" bestFit="1" customWidth="1"/>
    <col min="13084" max="13084" width="6.75" style="399" customWidth="1"/>
    <col min="13085" max="13085" width="10.625" style="399" customWidth="1"/>
    <col min="13086" max="13086" width="4.5" style="399" customWidth="1"/>
    <col min="13087" max="13087" width="8.75" style="399" customWidth="1"/>
    <col min="13088" max="13315" width="9" style="399"/>
    <col min="13316" max="13316" width="9.875" style="399" customWidth="1"/>
    <col min="13317" max="13317" width="4.5" style="399" customWidth="1"/>
    <col min="13318" max="13318" width="7.125" style="399" bestFit="1" customWidth="1"/>
    <col min="13319" max="13319" width="8.125" style="399" bestFit="1" customWidth="1"/>
    <col min="13320" max="13320" width="19.375" style="399" customWidth="1"/>
    <col min="13321" max="13322" width="13.125" style="399" bestFit="1" customWidth="1"/>
    <col min="13323" max="13323" width="16.25" style="399" bestFit="1" customWidth="1"/>
    <col min="13324" max="13324" width="7.375" style="399" bestFit="1" customWidth="1"/>
    <col min="13325" max="13325" width="6.375" style="399" bestFit="1" customWidth="1"/>
    <col min="13326" max="13326" width="22.875" style="399" customWidth="1"/>
    <col min="13327" max="13327" width="19.5" style="399" customWidth="1"/>
    <col min="13328" max="13329" width="9" style="399" bestFit="1" customWidth="1"/>
    <col min="13330" max="13330" width="15.75" style="399" customWidth="1"/>
    <col min="13331" max="13331" width="9.125" style="399" customWidth="1"/>
    <col min="13332" max="13332" width="14.375" style="399" customWidth="1"/>
    <col min="13333" max="13333" width="9.375" style="399" customWidth="1"/>
    <col min="13334" max="13334" width="8.875" style="399" customWidth="1"/>
    <col min="13335" max="13335" width="7.125" style="399" bestFit="1" customWidth="1"/>
    <col min="13336" max="13336" width="9.875" style="399" customWidth="1"/>
    <col min="13337" max="13337" width="7.125" style="399" bestFit="1" customWidth="1"/>
    <col min="13338" max="13338" width="9.625" style="399" customWidth="1"/>
    <col min="13339" max="13339" width="8.5" style="399" bestFit="1" customWidth="1"/>
    <col min="13340" max="13340" width="6.75" style="399" customWidth="1"/>
    <col min="13341" max="13341" width="10.625" style="399" customWidth="1"/>
    <col min="13342" max="13342" width="4.5" style="399" customWidth="1"/>
    <col min="13343" max="13343" width="8.75" style="399" customWidth="1"/>
    <col min="13344" max="13571" width="9" style="399"/>
    <col min="13572" max="13572" width="9.875" style="399" customWidth="1"/>
    <col min="13573" max="13573" width="4.5" style="399" customWidth="1"/>
    <col min="13574" max="13574" width="7.125" style="399" bestFit="1" customWidth="1"/>
    <col min="13575" max="13575" width="8.125" style="399" bestFit="1" customWidth="1"/>
    <col min="13576" max="13576" width="19.375" style="399" customWidth="1"/>
    <col min="13577" max="13578" width="13.125" style="399" bestFit="1" customWidth="1"/>
    <col min="13579" max="13579" width="16.25" style="399" bestFit="1" customWidth="1"/>
    <col min="13580" max="13580" width="7.375" style="399" bestFit="1" customWidth="1"/>
    <col min="13581" max="13581" width="6.375" style="399" bestFit="1" customWidth="1"/>
    <col min="13582" max="13582" width="22.875" style="399" customWidth="1"/>
    <col min="13583" max="13583" width="19.5" style="399" customWidth="1"/>
    <col min="13584" max="13585" width="9" style="399" bestFit="1" customWidth="1"/>
    <col min="13586" max="13586" width="15.75" style="399" customWidth="1"/>
    <col min="13587" max="13587" width="9.125" style="399" customWidth="1"/>
    <col min="13588" max="13588" width="14.375" style="399" customWidth="1"/>
    <col min="13589" max="13589" width="9.375" style="399" customWidth="1"/>
    <col min="13590" max="13590" width="8.875" style="399" customWidth="1"/>
    <col min="13591" max="13591" width="7.125" style="399" bestFit="1" customWidth="1"/>
    <col min="13592" max="13592" width="9.875" style="399" customWidth="1"/>
    <col min="13593" max="13593" width="7.125" style="399" bestFit="1" customWidth="1"/>
    <col min="13594" max="13594" width="9.625" style="399" customWidth="1"/>
    <col min="13595" max="13595" width="8.5" style="399" bestFit="1" customWidth="1"/>
    <col min="13596" max="13596" width="6.75" style="399" customWidth="1"/>
    <col min="13597" max="13597" width="10.625" style="399" customWidth="1"/>
    <col min="13598" max="13598" width="4.5" style="399" customWidth="1"/>
    <col min="13599" max="13599" width="8.75" style="399" customWidth="1"/>
    <col min="13600" max="13827" width="9" style="399"/>
    <col min="13828" max="13828" width="9.875" style="399" customWidth="1"/>
    <col min="13829" max="13829" width="4.5" style="399" customWidth="1"/>
    <col min="13830" max="13830" width="7.125" style="399" bestFit="1" customWidth="1"/>
    <col min="13831" max="13831" width="8.125" style="399" bestFit="1" customWidth="1"/>
    <col min="13832" max="13832" width="19.375" style="399" customWidth="1"/>
    <col min="13833" max="13834" width="13.125" style="399" bestFit="1" customWidth="1"/>
    <col min="13835" max="13835" width="16.25" style="399" bestFit="1" customWidth="1"/>
    <col min="13836" max="13836" width="7.375" style="399" bestFit="1" customWidth="1"/>
    <col min="13837" max="13837" width="6.375" style="399" bestFit="1" customWidth="1"/>
    <col min="13838" max="13838" width="22.875" style="399" customWidth="1"/>
    <col min="13839" max="13839" width="19.5" style="399" customWidth="1"/>
    <col min="13840" max="13841" width="9" style="399" bestFit="1" customWidth="1"/>
    <col min="13842" max="13842" width="15.75" style="399" customWidth="1"/>
    <col min="13843" max="13843" width="9.125" style="399" customWidth="1"/>
    <col min="13844" max="13844" width="14.375" style="399" customWidth="1"/>
    <col min="13845" max="13845" width="9.375" style="399" customWidth="1"/>
    <col min="13846" max="13846" width="8.875" style="399" customWidth="1"/>
    <col min="13847" max="13847" width="7.125" style="399" bestFit="1" customWidth="1"/>
    <col min="13848" max="13848" width="9.875" style="399" customWidth="1"/>
    <col min="13849" max="13849" width="7.125" style="399" bestFit="1" customWidth="1"/>
    <col min="13850" max="13850" width="9.625" style="399" customWidth="1"/>
    <col min="13851" max="13851" width="8.5" style="399" bestFit="1" customWidth="1"/>
    <col min="13852" max="13852" width="6.75" style="399" customWidth="1"/>
    <col min="13853" max="13853" width="10.625" style="399" customWidth="1"/>
    <col min="13854" max="13854" width="4.5" style="399" customWidth="1"/>
    <col min="13855" max="13855" width="8.75" style="399" customWidth="1"/>
    <col min="13856" max="14083" width="9" style="399"/>
    <col min="14084" max="14084" width="9.875" style="399" customWidth="1"/>
    <col min="14085" max="14085" width="4.5" style="399" customWidth="1"/>
    <col min="14086" max="14086" width="7.125" style="399" bestFit="1" customWidth="1"/>
    <col min="14087" max="14087" width="8.125" style="399" bestFit="1" customWidth="1"/>
    <col min="14088" max="14088" width="19.375" style="399" customWidth="1"/>
    <col min="14089" max="14090" width="13.125" style="399" bestFit="1" customWidth="1"/>
    <col min="14091" max="14091" width="16.25" style="399" bestFit="1" customWidth="1"/>
    <col min="14092" max="14092" width="7.375" style="399" bestFit="1" customWidth="1"/>
    <col min="14093" max="14093" width="6.375" style="399" bestFit="1" customWidth="1"/>
    <col min="14094" max="14094" width="22.875" style="399" customWidth="1"/>
    <col min="14095" max="14095" width="19.5" style="399" customWidth="1"/>
    <col min="14096" max="14097" width="9" style="399" bestFit="1" customWidth="1"/>
    <col min="14098" max="14098" width="15.75" style="399" customWidth="1"/>
    <col min="14099" max="14099" width="9.125" style="399" customWidth="1"/>
    <col min="14100" max="14100" width="14.375" style="399" customWidth="1"/>
    <col min="14101" max="14101" width="9.375" style="399" customWidth="1"/>
    <col min="14102" max="14102" width="8.875" style="399" customWidth="1"/>
    <col min="14103" max="14103" width="7.125" style="399" bestFit="1" customWidth="1"/>
    <col min="14104" max="14104" width="9.875" style="399" customWidth="1"/>
    <col min="14105" max="14105" width="7.125" style="399" bestFit="1" customWidth="1"/>
    <col min="14106" max="14106" width="9.625" style="399" customWidth="1"/>
    <col min="14107" max="14107" width="8.5" style="399" bestFit="1" customWidth="1"/>
    <col min="14108" max="14108" width="6.75" style="399" customWidth="1"/>
    <col min="14109" max="14109" width="10.625" style="399" customWidth="1"/>
    <col min="14110" max="14110" width="4.5" style="399" customWidth="1"/>
    <col min="14111" max="14111" width="8.75" style="399" customWidth="1"/>
    <col min="14112" max="14339" width="9" style="399"/>
    <col min="14340" max="14340" width="9.875" style="399" customWidth="1"/>
    <col min="14341" max="14341" width="4.5" style="399" customWidth="1"/>
    <col min="14342" max="14342" width="7.125" style="399" bestFit="1" customWidth="1"/>
    <col min="14343" max="14343" width="8.125" style="399" bestFit="1" customWidth="1"/>
    <col min="14344" max="14344" width="19.375" style="399" customWidth="1"/>
    <col min="14345" max="14346" width="13.125" style="399" bestFit="1" customWidth="1"/>
    <col min="14347" max="14347" width="16.25" style="399" bestFit="1" customWidth="1"/>
    <col min="14348" max="14348" width="7.375" style="399" bestFit="1" customWidth="1"/>
    <col min="14349" max="14349" width="6.375" style="399" bestFit="1" customWidth="1"/>
    <col min="14350" max="14350" width="22.875" style="399" customWidth="1"/>
    <col min="14351" max="14351" width="19.5" style="399" customWidth="1"/>
    <col min="14352" max="14353" width="9" style="399" bestFit="1" customWidth="1"/>
    <col min="14354" max="14354" width="15.75" style="399" customWidth="1"/>
    <col min="14355" max="14355" width="9.125" style="399" customWidth="1"/>
    <col min="14356" max="14356" width="14.375" style="399" customWidth="1"/>
    <col min="14357" max="14357" width="9.375" style="399" customWidth="1"/>
    <col min="14358" max="14358" width="8.875" style="399" customWidth="1"/>
    <col min="14359" max="14359" width="7.125" style="399" bestFit="1" customWidth="1"/>
    <col min="14360" max="14360" width="9.875" style="399" customWidth="1"/>
    <col min="14361" max="14361" width="7.125" style="399" bestFit="1" customWidth="1"/>
    <col min="14362" max="14362" width="9.625" style="399" customWidth="1"/>
    <col min="14363" max="14363" width="8.5" style="399" bestFit="1" customWidth="1"/>
    <col min="14364" max="14364" width="6.75" style="399" customWidth="1"/>
    <col min="14365" max="14365" width="10.625" style="399" customWidth="1"/>
    <col min="14366" max="14366" width="4.5" style="399" customWidth="1"/>
    <col min="14367" max="14367" width="8.75" style="399" customWidth="1"/>
    <col min="14368" max="14595" width="9" style="399"/>
    <col min="14596" max="14596" width="9.875" style="399" customWidth="1"/>
    <col min="14597" max="14597" width="4.5" style="399" customWidth="1"/>
    <col min="14598" max="14598" width="7.125" style="399" bestFit="1" customWidth="1"/>
    <col min="14599" max="14599" width="8.125" style="399" bestFit="1" customWidth="1"/>
    <col min="14600" max="14600" width="19.375" style="399" customWidth="1"/>
    <col min="14601" max="14602" width="13.125" style="399" bestFit="1" customWidth="1"/>
    <col min="14603" max="14603" width="16.25" style="399" bestFit="1" customWidth="1"/>
    <col min="14604" max="14604" width="7.375" style="399" bestFit="1" customWidth="1"/>
    <col min="14605" max="14605" width="6.375" style="399" bestFit="1" customWidth="1"/>
    <col min="14606" max="14606" width="22.875" style="399" customWidth="1"/>
    <col min="14607" max="14607" width="19.5" style="399" customWidth="1"/>
    <col min="14608" max="14609" width="9" style="399" bestFit="1" customWidth="1"/>
    <col min="14610" max="14610" width="15.75" style="399" customWidth="1"/>
    <col min="14611" max="14611" width="9.125" style="399" customWidth="1"/>
    <col min="14612" max="14612" width="14.375" style="399" customWidth="1"/>
    <col min="14613" max="14613" width="9.375" style="399" customWidth="1"/>
    <col min="14614" max="14614" width="8.875" style="399" customWidth="1"/>
    <col min="14615" max="14615" width="7.125" style="399" bestFit="1" customWidth="1"/>
    <col min="14616" max="14616" width="9.875" style="399" customWidth="1"/>
    <col min="14617" max="14617" width="7.125" style="399" bestFit="1" customWidth="1"/>
    <col min="14618" max="14618" width="9.625" style="399" customWidth="1"/>
    <col min="14619" max="14619" width="8.5" style="399" bestFit="1" customWidth="1"/>
    <col min="14620" max="14620" width="6.75" style="399" customWidth="1"/>
    <col min="14621" max="14621" width="10.625" style="399" customWidth="1"/>
    <col min="14622" max="14622" width="4.5" style="399" customWidth="1"/>
    <col min="14623" max="14623" width="8.75" style="399" customWidth="1"/>
    <col min="14624" max="14851" width="9" style="399"/>
    <col min="14852" max="14852" width="9.875" style="399" customWidth="1"/>
    <col min="14853" max="14853" width="4.5" style="399" customWidth="1"/>
    <col min="14854" max="14854" width="7.125" style="399" bestFit="1" customWidth="1"/>
    <col min="14855" max="14855" width="8.125" style="399" bestFit="1" customWidth="1"/>
    <col min="14856" max="14856" width="19.375" style="399" customWidth="1"/>
    <col min="14857" max="14858" width="13.125" style="399" bestFit="1" customWidth="1"/>
    <col min="14859" max="14859" width="16.25" style="399" bestFit="1" customWidth="1"/>
    <col min="14860" max="14860" width="7.375" style="399" bestFit="1" customWidth="1"/>
    <col min="14861" max="14861" width="6.375" style="399" bestFit="1" customWidth="1"/>
    <col min="14862" max="14862" width="22.875" style="399" customWidth="1"/>
    <col min="14863" max="14863" width="19.5" style="399" customWidth="1"/>
    <col min="14864" max="14865" width="9" style="399" bestFit="1" customWidth="1"/>
    <col min="14866" max="14866" width="15.75" style="399" customWidth="1"/>
    <col min="14867" max="14867" width="9.125" style="399" customWidth="1"/>
    <col min="14868" max="14868" width="14.375" style="399" customWidth="1"/>
    <col min="14869" max="14869" width="9.375" style="399" customWidth="1"/>
    <col min="14870" max="14870" width="8.875" style="399" customWidth="1"/>
    <col min="14871" max="14871" width="7.125" style="399" bestFit="1" customWidth="1"/>
    <col min="14872" max="14872" width="9.875" style="399" customWidth="1"/>
    <col min="14873" max="14873" width="7.125" style="399" bestFit="1" customWidth="1"/>
    <col min="14874" max="14874" width="9.625" style="399" customWidth="1"/>
    <col min="14875" max="14875" width="8.5" style="399" bestFit="1" customWidth="1"/>
    <col min="14876" max="14876" width="6.75" style="399" customWidth="1"/>
    <col min="14877" max="14877" width="10.625" style="399" customWidth="1"/>
    <col min="14878" max="14878" width="4.5" style="399" customWidth="1"/>
    <col min="14879" max="14879" width="8.75" style="399" customWidth="1"/>
    <col min="14880" max="15107" width="9" style="399"/>
    <col min="15108" max="15108" width="9.875" style="399" customWidth="1"/>
    <col min="15109" max="15109" width="4.5" style="399" customWidth="1"/>
    <col min="15110" max="15110" width="7.125" style="399" bestFit="1" customWidth="1"/>
    <col min="15111" max="15111" width="8.125" style="399" bestFit="1" customWidth="1"/>
    <col min="15112" max="15112" width="19.375" style="399" customWidth="1"/>
    <col min="15113" max="15114" width="13.125" style="399" bestFit="1" customWidth="1"/>
    <col min="15115" max="15115" width="16.25" style="399" bestFit="1" customWidth="1"/>
    <col min="15116" max="15116" width="7.375" style="399" bestFit="1" customWidth="1"/>
    <col min="15117" max="15117" width="6.375" style="399" bestFit="1" customWidth="1"/>
    <col min="15118" max="15118" width="22.875" style="399" customWidth="1"/>
    <col min="15119" max="15119" width="19.5" style="399" customWidth="1"/>
    <col min="15120" max="15121" width="9" style="399" bestFit="1" customWidth="1"/>
    <col min="15122" max="15122" width="15.75" style="399" customWidth="1"/>
    <col min="15123" max="15123" width="9.125" style="399" customWidth="1"/>
    <col min="15124" max="15124" width="14.375" style="399" customWidth="1"/>
    <col min="15125" max="15125" width="9.375" style="399" customWidth="1"/>
    <col min="15126" max="15126" width="8.875" style="399" customWidth="1"/>
    <col min="15127" max="15127" width="7.125" style="399" bestFit="1" customWidth="1"/>
    <col min="15128" max="15128" width="9.875" style="399" customWidth="1"/>
    <col min="15129" max="15129" width="7.125" style="399" bestFit="1" customWidth="1"/>
    <col min="15130" max="15130" width="9.625" style="399" customWidth="1"/>
    <col min="15131" max="15131" width="8.5" style="399" bestFit="1" customWidth="1"/>
    <col min="15132" max="15132" width="6.75" style="399" customWidth="1"/>
    <col min="15133" max="15133" width="10.625" style="399" customWidth="1"/>
    <col min="15134" max="15134" width="4.5" style="399" customWidth="1"/>
    <col min="15135" max="15135" width="8.75" style="399" customWidth="1"/>
    <col min="15136" max="15363" width="9" style="399"/>
    <col min="15364" max="15364" width="9.875" style="399" customWidth="1"/>
    <col min="15365" max="15365" width="4.5" style="399" customWidth="1"/>
    <col min="15366" max="15366" width="7.125" style="399" bestFit="1" customWidth="1"/>
    <col min="15367" max="15367" width="8.125" style="399" bestFit="1" customWidth="1"/>
    <col min="15368" max="15368" width="19.375" style="399" customWidth="1"/>
    <col min="15369" max="15370" width="13.125" style="399" bestFit="1" customWidth="1"/>
    <col min="15371" max="15371" width="16.25" style="399" bestFit="1" customWidth="1"/>
    <col min="15372" max="15372" width="7.375" style="399" bestFit="1" customWidth="1"/>
    <col min="15373" max="15373" width="6.375" style="399" bestFit="1" customWidth="1"/>
    <col min="15374" max="15374" width="22.875" style="399" customWidth="1"/>
    <col min="15375" max="15375" width="19.5" style="399" customWidth="1"/>
    <col min="15376" max="15377" width="9" style="399" bestFit="1" customWidth="1"/>
    <col min="15378" max="15378" width="15.75" style="399" customWidth="1"/>
    <col min="15379" max="15379" width="9.125" style="399" customWidth="1"/>
    <col min="15380" max="15380" width="14.375" style="399" customWidth="1"/>
    <col min="15381" max="15381" width="9.375" style="399" customWidth="1"/>
    <col min="15382" max="15382" width="8.875" style="399" customWidth="1"/>
    <col min="15383" max="15383" width="7.125" style="399" bestFit="1" customWidth="1"/>
    <col min="15384" max="15384" width="9.875" style="399" customWidth="1"/>
    <col min="15385" max="15385" width="7.125" style="399" bestFit="1" customWidth="1"/>
    <col min="15386" max="15386" width="9.625" style="399" customWidth="1"/>
    <col min="15387" max="15387" width="8.5" style="399" bestFit="1" customWidth="1"/>
    <col min="15388" max="15388" width="6.75" style="399" customWidth="1"/>
    <col min="15389" max="15389" width="10.625" style="399" customWidth="1"/>
    <col min="15390" max="15390" width="4.5" style="399" customWidth="1"/>
    <col min="15391" max="15391" width="8.75" style="399" customWidth="1"/>
    <col min="15392" max="15619" width="9" style="399"/>
    <col min="15620" max="15620" width="9.875" style="399" customWidth="1"/>
    <col min="15621" max="15621" width="4.5" style="399" customWidth="1"/>
    <col min="15622" max="15622" width="7.125" style="399" bestFit="1" customWidth="1"/>
    <col min="15623" max="15623" width="8.125" style="399" bestFit="1" customWidth="1"/>
    <col min="15624" max="15624" width="19.375" style="399" customWidth="1"/>
    <col min="15625" max="15626" width="13.125" style="399" bestFit="1" customWidth="1"/>
    <col min="15627" max="15627" width="16.25" style="399" bestFit="1" customWidth="1"/>
    <col min="15628" max="15628" width="7.375" style="399" bestFit="1" customWidth="1"/>
    <col min="15629" max="15629" width="6.375" style="399" bestFit="1" customWidth="1"/>
    <col min="15630" max="15630" width="22.875" style="399" customWidth="1"/>
    <col min="15631" max="15631" width="19.5" style="399" customWidth="1"/>
    <col min="15632" max="15633" width="9" style="399" bestFit="1" customWidth="1"/>
    <col min="15634" max="15634" width="15.75" style="399" customWidth="1"/>
    <col min="15635" max="15635" width="9.125" style="399" customWidth="1"/>
    <col min="15636" max="15636" width="14.375" style="399" customWidth="1"/>
    <col min="15637" max="15637" width="9.375" style="399" customWidth="1"/>
    <col min="15638" max="15638" width="8.875" style="399" customWidth="1"/>
    <col min="15639" max="15639" width="7.125" style="399" bestFit="1" customWidth="1"/>
    <col min="15640" max="15640" width="9.875" style="399" customWidth="1"/>
    <col min="15641" max="15641" width="7.125" style="399" bestFit="1" customWidth="1"/>
    <col min="15642" max="15642" width="9.625" style="399" customWidth="1"/>
    <col min="15643" max="15643" width="8.5" style="399" bestFit="1" customWidth="1"/>
    <col min="15644" max="15644" width="6.75" style="399" customWidth="1"/>
    <col min="15645" max="15645" width="10.625" style="399" customWidth="1"/>
    <col min="15646" max="15646" width="4.5" style="399" customWidth="1"/>
    <col min="15647" max="15647" width="8.75" style="399" customWidth="1"/>
    <col min="15648" max="15875" width="9" style="399"/>
    <col min="15876" max="15876" width="9.875" style="399" customWidth="1"/>
    <col min="15877" max="15877" width="4.5" style="399" customWidth="1"/>
    <col min="15878" max="15878" width="7.125" style="399" bestFit="1" customWidth="1"/>
    <col min="15879" max="15879" width="8.125" style="399" bestFit="1" customWidth="1"/>
    <col min="15880" max="15880" width="19.375" style="399" customWidth="1"/>
    <col min="15881" max="15882" width="13.125" style="399" bestFit="1" customWidth="1"/>
    <col min="15883" max="15883" width="16.25" style="399" bestFit="1" customWidth="1"/>
    <col min="15884" max="15884" width="7.375" style="399" bestFit="1" customWidth="1"/>
    <col min="15885" max="15885" width="6.375" style="399" bestFit="1" customWidth="1"/>
    <col min="15886" max="15886" width="22.875" style="399" customWidth="1"/>
    <col min="15887" max="15887" width="19.5" style="399" customWidth="1"/>
    <col min="15888" max="15889" width="9" style="399" bestFit="1" customWidth="1"/>
    <col min="15890" max="15890" width="15.75" style="399" customWidth="1"/>
    <col min="15891" max="15891" width="9.125" style="399" customWidth="1"/>
    <col min="15892" max="15892" width="14.375" style="399" customWidth="1"/>
    <col min="15893" max="15893" width="9.375" style="399" customWidth="1"/>
    <col min="15894" max="15894" width="8.875" style="399" customWidth="1"/>
    <col min="15895" max="15895" width="7.125" style="399" bestFit="1" customWidth="1"/>
    <col min="15896" max="15896" width="9.875" style="399" customWidth="1"/>
    <col min="15897" max="15897" width="7.125" style="399" bestFit="1" customWidth="1"/>
    <col min="15898" max="15898" width="9.625" style="399" customWidth="1"/>
    <col min="15899" max="15899" width="8.5" style="399" bestFit="1" customWidth="1"/>
    <col min="15900" max="15900" width="6.75" style="399" customWidth="1"/>
    <col min="15901" max="15901" width="10.625" style="399" customWidth="1"/>
    <col min="15902" max="15902" width="4.5" style="399" customWidth="1"/>
    <col min="15903" max="15903" width="8.75" style="399" customWidth="1"/>
    <col min="15904" max="16131" width="9" style="399"/>
    <col min="16132" max="16132" width="9.875" style="399" customWidth="1"/>
    <col min="16133" max="16133" width="4.5" style="399" customWidth="1"/>
    <col min="16134" max="16134" width="7.125" style="399" bestFit="1" customWidth="1"/>
    <col min="16135" max="16135" width="8.125" style="399" bestFit="1" customWidth="1"/>
    <col min="16136" max="16136" width="19.375" style="399" customWidth="1"/>
    <col min="16137" max="16138" width="13.125" style="399" bestFit="1" customWidth="1"/>
    <col min="16139" max="16139" width="16.25" style="399" bestFit="1" customWidth="1"/>
    <col min="16140" max="16140" width="7.375" style="399" bestFit="1" customWidth="1"/>
    <col min="16141" max="16141" width="6.375" style="399" bestFit="1" customWidth="1"/>
    <col min="16142" max="16142" width="22.875" style="399" customWidth="1"/>
    <col min="16143" max="16143" width="19.5" style="399" customWidth="1"/>
    <col min="16144" max="16145" width="9" style="399" bestFit="1" customWidth="1"/>
    <col min="16146" max="16146" width="15.75" style="399" customWidth="1"/>
    <col min="16147" max="16147" width="9.125" style="399" customWidth="1"/>
    <col min="16148" max="16148" width="14.375" style="399" customWidth="1"/>
    <col min="16149" max="16149" width="9.375" style="399" customWidth="1"/>
    <col min="16150" max="16150" width="8.875" style="399" customWidth="1"/>
    <col min="16151" max="16151" width="7.125" style="399" bestFit="1" customWidth="1"/>
    <col min="16152" max="16152" width="9.875" style="399" customWidth="1"/>
    <col min="16153" max="16153" width="7.125" style="399" bestFit="1" customWidth="1"/>
    <col min="16154" max="16154" width="9.625" style="399" customWidth="1"/>
    <col min="16155" max="16155" width="8.5" style="399" bestFit="1" customWidth="1"/>
    <col min="16156" max="16156" width="6.75" style="399" customWidth="1"/>
    <col min="16157" max="16157" width="10.625" style="399" customWidth="1"/>
    <col min="16158" max="16158" width="4.5" style="399" customWidth="1"/>
    <col min="16159" max="16159" width="8.75" style="399" customWidth="1"/>
    <col min="16160" max="16384" width="9" style="399"/>
  </cols>
  <sheetData>
    <row r="1" spans="1:22" ht="15.95" customHeight="1" thickBot="1"/>
    <row r="2" spans="1:22" s="402" customFormat="1" ht="28.5" customHeight="1" thickBot="1">
      <c r="A2" s="1171" t="s">
        <v>613</v>
      </c>
      <c r="B2" s="1171"/>
      <c r="C2" s="1171"/>
      <c r="D2" s="1171"/>
      <c r="E2" s="1171"/>
      <c r="F2" s="1171"/>
      <c r="G2" s="1171"/>
      <c r="H2" s="399"/>
      <c r="I2" s="400"/>
      <c r="J2" s="400"/>
      <c r="K2" s="400"/>
      <c r="L2" s="399"/>
      <c r="M2" s="401"/>
      <c r="O2" s="1228" t="s">
        <v>659</v>
      </c>
      <c r="P2" s="1229"/>
      <c r="Q2" s="1230"/>
    </row>
    <row r="3" spans="1:22" s="402" customFormat="1" ht="28.5" customHeight="1">
      <c r="A3" s="1233" t="s">
        <v>604</v>
      </c>
      <c r="B3" s="1233"/>
      <c r="C3" s="1233"/>
      <c r="D3" s="1233"/>
      <c r="E3" s="1233"/>
      <c r="F3" s="1233"/>
      <c r="G3" s="1233"/>
      <c r="I3" s="403" t="s">
        <v>34</v>
      </c>
      <c r="J3" s="1231">
        <f>'자기평가서(2단계-종합기술제안서 정량평가)'!K4</f>
        <v>45972</v>
      </c>
      <c r="K3" s="1231"/>
      <c r="M3" s="401"/>
      <c r="O3" s="680" t="s">
        <v>73</v>
      </c>
      <c r="P3" s="682" t="s">
        <v>25</v>
      </c>
      <c r="Q3" s="681" t="s">
        <v>655</v>
      </c>
    </row>
    <row r="4" spans="1:22" s="402" customFormat="1" ht="15" customHeight="1">
      <c r="A4" s="1233" t="s">
        <v>650</v>
      </c>
      <c r="B4" s="1233"/>
      <c r="C4" s="1233"/>
      <c r="D4" s="1233"/>
      <c r="E4" s="1233"/>
      <c r="F4" s="1233"/>
      <c r="G4" s="1233"/>
      <c r="I4" s="404" t="s">
        <v>137</v>
      </c>
      <c r="J4" s="1231">
        <f>J3-365*3-1</f>
        <v>44876</v>
      </c>
      <c r="K4" s="1231"/>
      <c r="M4" s="401"/>
      <c r="O4" s="683" t="str">
        <f>참여업체!C5</f>
        <v>A</v>
      </c>
      <c r="P4" s="686">
        <f>참여업체!C6</f>
        <v>0.57999999999999996</v>
      </c>
      <c r="Q4" s="687">
        <f>J9*P4</f>
        <v>20.299999999999997</v>
      </c>
    </row>
    <row r="5" spans="1:22" s="402" customFormat="1" ht="15" customHeight="1">
      <c r="A5" s="1233" t="s">
        <v>605</v>
      </c>
      <c r="B5" s="1233"/>
      <c r="C5" s="1233"/>
      <c r="D5" s="1233"/>
      <c r="E5" s="1233"/>
      <c r="F5" s="1233"/>
      <c r="G5" s="1233"/>
      <c r="I5" s="404" t="s">
        <v>138</v>
      </c>
      <c r="J5" s="1231">
        <f>J3-1</f>
        <v>45971</v>
      </c>
      <c r="K5" s="1231"/>
      <c r="M5" s="401"/>
      <c r="O5" s="683" t="str">
        <f>참여업체!D5</f>
        <v>B</v>
      </c>
      <c r="P5" s="686">
        <f>참여업체!D6</f>
        <v>0.28000000000000003</v>
      </c>
      <c r="Q5" s="687">
        <f>J10*P5</f>
        <v>9.8000000000000007</v>
      </c>
    </row>
    <row r="6" spans="1:22" customFormat="1" ht="15" customHeight="1" thickBot="1">
      <c r="A6" s="1222"/>
      <c r="B6" s="1222"/>
      <c r="C6" s="1222"/>
      <c r="D6" s="1222"/>
      <c r="E6" s="1222"/>
      <c r="F6" s="1222"/>
      <c r="G6" s="1222"/>
      <c r="O6" s="683" t="str">
        <f>참여업체!E5</f>
        <v>C</v>
      </c>
      <c r="P6" s="686">
        <f>참여업체!E6</f>
        <v>0.14000000000000001</v>
      </c>
      <c r="Q6" s="688">
        <v>0</v>
      </c>
    </row>
    <row r="7" spans="1:22" s="408" customFormat="1" ht="15" customHeight="1" thickBot="1">
      <c r="A7" s="1213" t="s">
        <v>230</v>
      </c>
      <c r="B7" s="1214"/>
      <c r="C7" s="1215"/>
      <c r="D7" s="1205" t="s">
        <v>266</v>
      </c>
      <c r="E7" s="1205" t="s">
        <v>656</v>
      </c>
      <c r="F7" s="1191" t="s">
        <v>603</v>
      </c>
      <c r="G7" s="1194" t="s">
        <v>268</v>
      </c>
      <c r="H7" s="1206"/>
      <c r="I7" s="638" t="s">
        <v>269</v>
      </c>
      <c r="J7" s="1209" t="s">
        <v>653</v>
      </c>
      <c r="K7" s="1232" t="s">
        <v>654</v>
      </c>
      <c r="L7" s="1205" t="s">
        <v>270</v>
      </c>
      <c r="N7" s="409"/>
      <c r="O7" s="1226" t="s">
        <v>116</v>
      </c>
      <c r="P7" s="1227"/>
      <c r="Q7" s="689">
        <f>SUM(Q4,Q5,Q6)</f>
        <v>30.099999999999998</v>
      </c>
    </row>
    <row r="8" spans="1:22" s="408" customFormat="1" ht="15" customHeight="1" thickBot="1">
      <c r="A8" s="1216"/>
      <c r="B8" s="1217"/>
      <c r="C8" s="1218"/>
      <c r="D8" s="1192"/>
      <c r="E8" s="1192"/>
      <c r="F8" s="1192"/>
      <c r="G8" s="637" t="s">
        <v>152</v>
      </c>
      <c r="H8" s="637" t="s">
        <v>153</v>
      </c>
      <c r="I8" s="411" t="s">
        <v>271</v>
      </c>
      <c r="J8" s="1210"/>
      <c r="K8" s="1210"/>
      <c r="L8" s="1192"/>
      <c r="N8" s="409"/>
      <c r="O8" s="679"/>
      <c r="P8" s="684" t="s">
        <v>287</v>
      </c>
      <c r="Q8" s="685">
        <f>IF((Q7)&gt;=70,1,IF(AND((Q7)&gt;=35),0.5,0))</f>
        <v>0</v>
      </c>
    </row>
    <row r="9" spans="1:22" s="408" customFormat="1" ht="15" customHeight="1">
      <c r="A9" s="1196" t="s">
        <v>602</v>
      </c>
      <c r="B9" s="1197"/>
      <c r="C9" s="1198"/>
      <c r="D9" s="639" t="s">
        <v>651</v>
      </c>
      <c r="E9" s="640" t="s">
        <v>657</v>
      </c>
      <c r="F9" s="412" t="s">
        <v>606</v>
      </c>
      <c r="G9" s="413">
        <v>45658</v>
      </c>
      <c r="H9" s="413">
        <v>45748</v>
      </c>
      <c r="I9" s="414">
        <f>IF(D9="",0,IF(AND($J$4&lt;=H9,H9&lt;=$J$5),1,0))</f>
        <v>1</v>
      </c>
      <c r="J9" s="414">
        <v>35</v>
      </c>
      <c r="K9" s="1224">
        <f>SUM(J9,J10)</f>
        <v>70</v>
      </c>
      <c r="L9" s="1208">
        <f>IF(D9="","",IF((K9)&gt;=70,1,IF(AND((K9)&gt;=35),0.5,0)))</f>
        <v>1</v>
      </c>
      <c r="N9" s="409"/>
    </row>
    <row r="10" spans="1:22" s="408" customFormat="1" ht="15" customHeight="1">
      <c r="A10" s="1199"/>
      <c r="B10" s="1223"/>
      <c r="C10" s="1201"/>
      <c r="D10" s="639" t="s">
        <v>652</v>
      </c>
      <c r="E10" s="640" t="s">
        <v>658</v>
      </c>
      <c r="F10" s="412" t="s">
        <v>606</v>
      </c>
      <c r="G10" s="413">
        <v>45723</v>
      </c>
      <c r="H10" s="413">
        <v>45839</v>
      </c>
      <c r="I10" s="414">
        <f>IF(D10="",0,IF(AND($J$4&lt;=H10,H10&lt;=$J$5),1,0))</f>
        <v>1</v>
      </c>
      <c r="J10" s="414">
        <v>35</v>
      </c>
      <c r="K10" s="1225"/>
      <c r="L10" s="1208"/>
      <c r="N10" s="409"/>
    </row>
    <row r="11" spans="1:22" s="408" customFormat="1" ht="15" customHeight="1">
      <c r="A11" s="1219" t="s">
        <v>80</v>
      </c>
      <c r="B11" s="1220"/>
      <c r="C11" s="1220"/>
      <c r="D11" s="1220"/>
      <c r="E11" s="1220"/>
      <c r="F11" s="1220"/>
      <c r="G11" s="1220"/>
      <c r="H11" s="1220"/>
      <c r="I11" s="1220"/>
      <c r="J11" s="678"/>
      <c r="K11" s="678"/>
      <c r="L11" s="421">
        <f>L9</f>
        <v>1</v>
      </c>
      <c r="N11" s="409"/>
      <c r="O11" s="402"/>
      <c r="P11" s="402"/>
      <c r="Q11" s="402"/>
    </row>
    <row r="12" spans="1:22" s="402" customFormat="1" ht="15.95" customHeight="1">
      <c r="A12" s="399"/>
      <c r="B12" s="399"/>
      <c r="C12" s="399"/>
      <c r="D12" s="399"/>
      <c r="E12" s="399"/>
      <c r="F12" s="399"/>
      <c r="G12" s="399"/>
      <c r="H12" s="399"/>
      <c r="I12" s="400"/>
      <c r="J12" s="400"/>
      <c r="K12" s="400"/>
      <c r="L12" s="399"/>
      <c r="M12" s="401"/>
    </row>
    <row r="13" spans="1:22" s="402" customFormat="1" ht="15.95" customHeight="1">
      <c r="A13" s="399"/>
      <c r="B13" s="399"/>
      <c r="C13" s="399"/>
      <c r="D13" s="399"/>
      <c r="E13" s="399"/>
      <c r="F13" s="399"/>
      <c r="G13" s="399"/>
      <c r="H13" s="399"/>
      <c r="I13" s="400"/>
      <c r="J13" s="400"/>
      <c r="K13" s="400"/>
      <c r="L13" s="399"/>
      <c r="M13" s="401"/>
    </row>
    <row r="14" spans="1:22" s="402" customFormat="1" ht="15.95" customHeight="1">
      <c r="A14" s="399"/>
      <c r="B14" s="399"/>
      <c r="C14" s="399"/>
      <c r="D14" s="399"/>
      <c r="E14" s="399"/>
      <c r="F14" s="399"/>
      <c r="G14" s="399"/>
      <c r="H14" s="399"/>
      <c r="I14" s="400"/>
      <c r="J14" s="400"/>
      <c r="K14" s="400"/>
      <c r="L14" s="399"/>
      <c r="M14" s="401"/>
    </row>
    <row r="15" spans="1:22" s="402" customFormat="1" ht="15.95" customHeight="1">
      <c r="A15" s="399"/>
      <c r="B15" s="399"/>
      <c r="C15" s="399"/>
      <c r="D15" s="399"/>
      <c r="E15" s="399"/>
      <c r="F15" s="399"/>
      <c r="G15" s="399"/>
      <c r="H15" s="399"/>
      <c r="I15" s="400"/>
      <c r="J15" s="400"/>
      <c r="K15" s="400"/>
      <c r="L15" s="399"/>
      <c r="M15" s="401"/>
    </row>
    <row r="16" spans="1:22" s="402" customFormat="1" ht="15.95" customHeight="1">
      <c r="A16" s="399"/>
      <c r="B16" s="399"/>
      <c r="C16" s="399"/>
      <c r="D16" s="399"/>
      <c r="E16" s="399"/>
      <c r="F16" s="399"/>
      <c r="G16" s="399"/>
      <c r="H16" s="399"/>
      <c r="I16" s="400"/>
      <c r="J16" s="400"/>
      <c r="K16" s="400"/>
      <c r="L16" s="399"/>
      <c r="V16" s="401"/>
    </row>
    <row r="17" spans="1:22" s="402" customFormat="1" ht="15.95" customHeight="1">
      <c r="A17" s="399"/>
      <c r="B17" s="399"/>
      <c r="C17" s="399"/>
      <c r="D17" s="399"/>
      <c r="E17" s="399"/>
      <c r="F17" s="399"/>
      <c r="G17" s="399"/>
      <c r="H17" s="399"/>
      <c r="I17" s="400"/>
      <c r="J17" s="400"/>
      <c r="K17" s="400"/>
      <c r="L17" s="399"/>
      <c r="V17" s="401"/>
    </row>
    <row r="18" spans="1:22" s="402" customFormat="1" ht="15.95" customHeight="1">
      <c r="A18" s="399"/>
      <c r="B18" s="399"/>
      <c r="C18" s="399"/>
      <c r="D18" s="399"/>
      <c r="E18" s="399"/>
      <c r="F18" s="399"/>
      <c r="G18" s="399"/>
      <c r="H18" s="399"/>
      <c r="I18" s="400"/>
      <c r="J18" s="400"/>
      <c r="K18" s="400"/>
      <c r="L18" s="399"/>
      <c r="V18" s="401"/>
    </row>
    <row r="19" spans="1:22" s="402" customFormat="1" ht="15.95" customHeight="1">
      <c r="A19" s="399"/>
      <c r="B19" s="399"/>
      <c r="C19" s="399"/>
      <c r="D19" s="399"/>
      <c r="E19" s="399"/>
      <c r="F19" s="399"/>
      <c r="G19" s="399"/>
      <c r="H19" s="399"/>
      <c r="I19" s="400"/>
      <c r="J19" s="400"/>
      <c r="K19" s="400"/>
      <c r="L19" s="399"/>
      <c r="V19" s="401"/>
    </row>
    <row r="20" spans="1:22" s="402" customFormat="1" ht="15.95" customHeight="1">
      <c r="A20" s="399"/>
      <c r="B20" s="399"/>
      <c r="C20" s="399"/>
      <c r="D20" s="399"/>
      <c r="E20" s="399"/>
      <c r="F20" s="399"/>
      <c r="G20" s="399"/>
      <c r="H20" s="399"/>
      <c r="I20" s="400"/>
      <c r="J20" s="400"/>
      <c r="K20" s="400"/>
      <c r="L20" s="399"/>
      <c r="V20" s="401"/>
    </row>
    <row r="21" spans="1:22" s="402" customFormat="1" ht="15.95" customHeight="1">
      <c r="I21" s="424"/>
      <c r="J21" s="424"/>
      <c r="K21" s="424"/>
      <c r="V21" s="401"/>
    </row>
    <row r="22" spans="1:22" s="402" customFormat="1" ht="15.95" customHeight="1">
      <c r="I22" s="424"/>
      <c r="J22" s="424"/>
      <c r="K22" s="424"/>
      <c r="V22" s="401"/>
    </row>
    <row r="23" spans="1:22" s="402" customFormat="1" ht="15.95" customHeight="1">
      <c r="I23" s="424"/>
      <c r="J23" s="424"/>
      <c r="K23" s="424"/>
      <c r="V23" s="401"/>
    </row>
    <row r="24" spans="1:22" s="402" customFormat="1" ht="15.95" customHeight="1">
      <c r="I24" s="424"/>
      <c r="J24" s="424"/>
      <c r="K24" s="424"/>
      <c r="V24" s="401"/>
    </row>
    <row r="25" spans="1:22" s="402" customFormat="1" ht="15.95" customHeight="1">
      <c r="I25" s="424"/>
      <c r="J25" s="424"/>
      <c r="K25" s="424"/>
      <c r="V25" s="401"/>
    </row>
    <row r="26" spans="1:22" s="402" customFormat="1" ht="15.95" customHeight="1">
      <c r="I26" s="424"/>
      <c r="J26" s="424"/>
      <c r="K26" s="424"/>
      <c r="V26" s="401"/>
    </row>
    <row r="27" spans="1:22" s="402" customFormat="1" ht="15.95" customHeight="1">
      <c r="I27" s="424"/>
      <c r="J27" s="424"/>
      <c r="K27" s="424"/>
      <c r="V27" s="401"/>
    </row>
    <row r="28" spans="1:22" s="402" customFormat="1" ht="15.95" customHeight="1">
      <c r="I28" s="424"/>
      <c r="J28" s="424"/>
      <c r="K28" s="424"/>
      <c r="V28" s="401"/>
    </row>
    <row r="29" spans="1:22" s="402" customFormat="1" ht="15.95" customHeight="1">
      <c r="I29" s="424"/>
      <c r="J29" s="424"/>
      <c r="K29" s="424"/>
      <c r="V29" s="401"/>
    </row>
    <row r="30" spans="1:22" s="402" customFormat="1" ht="15.95" customHeight="1">
      <c r="I30" s="424"/>
      <c r="J30" s="424"/>
      <c r="K30" s="424"/>
      <c r="V30" s="401"/>
    </row>
    <row r="31" spans="1:22" s="402" customFormat="1" ht="15.95" customHeight="1">
      <c r="I31" s="424"/>
      <c r="J31" s="424"/>
      <c r="K31" s="424"/>
      <c r="V31" s="401"/>
    </row>
    <row r="32" spans="1:22" s="402" customFormat="1" ht="15.95" customHeight="1">
      <c r="I32" s="424"/>
      <c r="J32" s="424"/>
      <c r="K32" s="424"/>
      <c r="V32" s="401"/>
    </row>
    <row r="33" spans="9:22" s="402" customFormat="1" ht="15.95" customHeight="1">
      <c r="I33" s="424"/>
      <c r="J33" s="424"/>
      <c r="K33" s="424"/>
      <c r="V33" s="401"/>
    </row>
    <row r="34" spans="9:22" s="402" customFormat="1" ht="15.95" customHeight="1">
      <c r="I34" s="424"/>
      <c r="J34" s="424"/>
      <c r="K34" s="424"/>
      <c r="V34" s="401"/>
    </row>
    <row r="35" spans="9:22" s="402" customFormat="1" ht="15.95" customHeight="1">
      <c r="I35" s="424"/>
      <c r="J35" s="424"/>
      <c r="K35" s="424"/>
      <c r="V35" s="401"/>
    </row>
    <row r="36" spans="9:22" s="402" customFormat="1" ht="15.95" customHeight="1">
      <c r="I36" s="424"/>
      <c r="J36" s="424"/>
      <c r="K36" s="424"/>
      <c r="V36" s="401"/>
    </row>
    <row r="37" spans="9:22" s="402" customFormat="1" ht="15.95" customHeight="1">
      <c r="I37" s="424"/>
      <c r="J37" s="424"/>
      <c r="K37" s="424"/>
      <c r="V37" s="401"/>
    </row>
    <row r="38" spans="9:22" s="402" customFormat="1" ht="15.95" customHeight="1">
      <c r="I38" s="424"/>
      <c r="J38" s="424"/>
      <c r="K38" s="424"/>
      <c r="V38" s="401"/>
    </row>
    <row r="39" spans="9:22" s="402" customFormat="1" ht="15.95" customHeight="1">
      <c r="I39" s="424"/>
      <c r="J39" s="424"/>
      <c r="K39" s="424"/>
      <c r="V39" s="401"/>
    </row>
    <row r="40" spans="9:22" s="402" customFormat="1" ht="15.95" customHeight="1">
      <c r="I40" s="424"/>
      <c r="J40" s="424"/>
      <c r="K40" s="424"/>
      <c r="V40" s="401"/>
    </row>
    <row r="41" spans="9:22" s="402" customFormat="1" ht="15.95" customHeight="1">
      <c r="I41" s="424"/>
      <c r="J41" s="424"/>
      <c r="K41" s="424"/>
      <c r="V41" s="401"/>
    </row>
    <row r="42" spans="9:22" s="402" customFormat="1" ht="15.95" customHeight="1">
      <c r="I42" s="424"/>
      <c r="J42" s="424"/>
      <c r="K42" s="424"/>
      <c r="V42" s="401"/>
    </row>
    <row r="43" spans="9:22" s="402" customFormat="1" ht="15.95" customHeight="1">
      <c r="I43" s="424"/>
      <c r="J43" s="424"/>
      <c r="K43" s="424"/>
      <c r="V43" s="401"/>
    </row>
    <row r="44" spans="9:22" s="402" customFormat="1" ht="15.95" customHeight="1">
      <c r="I44" s="424"/>
      <c r="J44" s="424"/>
      <c r="K44" s="424"/>
      <c r="V44" s="401"/>
    </row>
    <row r="45" spans="9:22" s="402" customFormat="1" ht="15.95" customHeight="1">
      <c r="I45" s="424"/>
      <c r="J45" s="424"/>
      <c r="K45" s="424"/>
      <c r="V45" s="401"/>
    </row>
    <row r="46" spans="9:22" s="402" customFormat="1" ht="15.95" customHeight="1">
      <c r="I46" s="424"/>
      <c r="J46" s="424"/>
      <c r="K46" s="424"/>
      <c r="V46" s="401"/>
    </row>
    <row r="47" spans="9:22" s="402" customFormat="1" ht="15.95" customHeight="1">
      <c r="I47" s="424"/>
      <c r="J47" s="424"/>
      <c r="K47" s="424"/>
      <c r="V47" s="401"/>
    </row>
    <row r="48" spans="9:22" s="402" customFormat="1" ht="15.95" customHeight="1">
      <c r="I48" s="424"/>
      <c r="J48" s="424"/>
      <c r="K48" s="424"/>
      <c r="V48" s="401"/>
    </row>
    <row r="49" spans="9:22" s="402" customFormat="1" ht="15.95" customHeight="1">
      <c r="I49" s="424"/>
      <c r="J49" s="424"/>
      <c r="K49" s="424"/>
      <c r="V49" s="401"/>
    </row>
    <row r="50" spans="9:22" s="402" customFormat="1" ht="15.95" customHeight="1">
      <c r="I50" s="424"/>
      <c r="J50" s="424"/>
      <c r="K50" s="424"/>
      <c r="V50" s="401"/>
    </row>
    <row r="51" spans="9:22" s="402" customFormat="1" ht="15.95" customHeight="1">
      <c r="I51" s="424"/>
      <c r="J51" s="424"/>
      <c r="K51" s="424"/>
      <c r="V51" s="401"/>
    </row>
    <row r="52" spans="9:22" s="402" customFormat="1" ht="15.95" customHeight="1">
      <c r="I52" s="424"/>
      <c r="J52" s="424"/>
      <c r="K52" s="424"/>
      <c r="V52" s="401"/>
    </row>
    <row r="53" spans="9:22" s="402" customFormat="1" ht="15.95" customHeight="1">
      <c r="I53" s="424"/>
      <c r="J53" s="424"/>
      <c r="K53" s="424"/>
      <c r="V53" s="401"/>
    </row>
    <row r="54" spans="9:22" s="402" customFormat="1" ht="15.95" customHeight="1">
      <c r="I54" s="424"/>
      <c r="J54" s="424"/>
      <c r="K54" s="424"/>
      <c r="V54" s="401"/>
    </row>
    <row r="55" spans="9:22" s="402" customFormat="1" ht="15.95" customHeight="1">
      <c r="I55" s="424"/>
      <c r="J55" s="424"/>
      <c r="K55" s="424"/>
      <c r="V55" s="401"/>
    </row>
    <row r="56" spans="9:22" s="402" customFormat="1" ht="15.95" customHeight="1">
      <c r="I56" s="424"/>
      <c r="J56" s="424"/>
      <c r="K56" s="424"/>
      <c r="V56" s="401"/>
    </row>
    <row r="57" spans="9:22" s="402" customFormat="1" ht="15.95" customHeight="1">
      <c r="I57" s="424"/>
      <c r="J57" s="424"/>
      <c r="K57" s="424"/>
      <c r="V57" s="401"/>
    </row>
    <row r="58" spans="9:22" s="402" customFormat="1" ht="15.95" customHeight="1">
      <c r="I58" s="424"/>
      <c r="J58" s="424"/>
      <c r="K58" s="424"/>
      <c r="V58" s="401"/>
    </row>
    <row r="59" spans="9:22" s="402" customFormat="1" ht="15.95" customHeight="1">
      <c r="I59" s="424"/>
      <c r="J59" s="424"/>
      <c r="K59" s="424"/>
      <c r="V59" s="401"/>
    </row>
    <row r="60" spans="9:22" s="402" customFormat="1" ht="15.95" customHeight="1">
      <c r="I60" s="424"/>
      <c r="J60" s="424"/>
      <c r="K60" s="424"/>
      <c r="V60" s="401"/>
    </row>
    <row r="61" spans="9:22" s="402" customFormat="1" ht="15.95" customHeight="1">
      <c r="I61" s="424"/>
      <c r="J61" s="424"/>
      <c r="K61" s="424"/>
      <c r="V61" s="401"/>
    </row>
    <row r="62" spans="9:22" s="402" customFormat="1" ht="15.95" customHeight="1">
      <c r="I62" s="424"/>
      <c r="J62" s="424"/>
      <c r="K62" s="424"/>
      <c r="V62" s="401"/>
    </row>
    <row r="63" spans="9:22" s="402" customFormat="1" ht="15.95" customHeight="1">
      <c r="I63" s="424"/>
      <c r="J63" s="424"/>
      <c r="K63" s="424"/>
      <c r="V63" s="401"/>
    </row>
    <row r="64" spans="9:22" s="402" customFormat="1" ht="15.95" customHeight="1">
      <c r="I64" s="424"/>
      <c r="J64" s="424"/>
      <c r="K64" s="424"/>
      <c r="V64" s="401"/>
    </row>
    <row r="65" spans="9:22" s="402" customFormat="1" ht="15.95" customHeight="1">
      <c r="I65" s="424"/>
      <c r="J65" s="424"/>
      <c r="K65" s="424"/>
      <c r="V65" s="401"/>
    </row>
    <row r="66" spans="9:22" s="402" customFormat="1" ht="15.95" customHeight="1">
      <c r="I66" s="424"/>
      <c r="J66" s="424"/>
      <c r="K66" s="424"/>
      <c r="V66" s="401"/>
    </row>
    <row r="67" spans="9:22" s="402" customFormat="1" ht="15.95" customHeight="1">
      <c r="I67" s="424"/>
      <c r="J67" s="424"/>
      <c r="K67" s="424"/>
      <c r="V67" s="401"/>
    </row>
    <row r="68" spans="9:22" s="402" customFormat="1" ht="15.95" customHeight="1">
      <c r="I68" s="424"/>
      <c r="J68" s="424"/>
      <c r="K68" s="424"/>
      <c r="V68" s="401"/>
    </row>
    <row r="69" spans="9:22" s="402" customFormat="1" ht="15.95" customHeight="1">
      <c r="I69" s="424"/>
      <c r="J69" s="424"/>
      <c r="K69" s="424"/>
      <c r="V69" s="401"/>
    </row>
    <row r="70" spans="9:22" s="402" customFormat="1" ht="15.95" customHeight="1">
      <c r="I70" s="424"/>
      <c r="J70" s="424"/>
      <c r="K70" s="424"/>
      <c r="V70" s="401"/>
    </row>
    <row r="71" spans="9:22" s="402" customFormat="1" ht="15.95" customHeight="1">
      <c r="I71" s="424"/>
      <c r="J71" s="424"/>
      <c r="K71" s="424"/>
      <c r="V71" s="401"/>
    </row>
    <row r="72" spans="9:22" s="402" customFormat="1" ht="15.95" customHeight="1">
      <c r="I72" s="424"/>
      <c r="J72" s="424"/>
      <c r="K72" s="424"/>
      <c r="V72" s="401"/>
    </row>
    <row r="73" spans="9:22" s="402" customFormat="1" ht="15.95" customHeight="1">
      <c r="I73" s="424"/>
      <c r="J73" s="424"/>
      <c r="K73" s="424"/>
      <c r="V73" s="401"/>
    </row>
    <row r="74" spans="9:22" s="402" customFormat="1" ht="15.95" customHeight="1">
      <c r="I74" s="424"/>
      <c r="J74" s="424"/>
      <c r="K74" s="424"/>
      <c r="V74" s="401"/>
    </row>
    <row r="75" spans="9:22" s="402" customFormat="1" ht="15.95" customHeight="1">
      <c r="I75" s="424"/>
      <c r="J75" s="424"/>
      <c r="K75" s="424"/>
      <c r="V75" s="401"/>
    </row>
    <row r="76" spans="9:22" s="402" customFormat="1" ht="15.95" customHeight="1">
      <c r="I76" s="424"/>
      <c r="J76" s="424"/>
      <c r="K76" s="424"/>
      <c r="V76" s="401"/>
    </row>
    <row r="77" spans="9:22" s="402" customFormat="1" ht="15.95" customHeight="1">
      <c r="I77" s="424"/>
      <c r="J77" s="424"/>
      <c r="K77" s="424"/>
      <c r="V77" s="401"/>
    </row>
    <row r="78" spans="9:22" s="402" customFormat="1" ht="15.95" customHeight="1">
      <c r="I78" s="424"/>
      <c r="J78" s="424"/>
      <c r="K78" s="424"/>
      <c r="V78" s="401"/>
    </row>
    <row r="79" spans="9:22" s="402" customFormat="1" ht="15.95" customHeight="1">
      <c r="I79" s="424"/>
      <c r="J79" s="424"/>
      <c r="K79" s="424"/>
      <c r="V79" s="401"/>
    </row>
    <row r="80" spans="9:22" s="402" customFormat="1" ht="15.95" customHeight="1">
      <c r="I80" s="424"/>
      <c r="J80" s="424"/>
      <c r="K80" s="424"/>
      <c r="V80" s="401"/>
    </row>
    <row r="81" spans="1:22" s="402" customFormat="1" ht="15.95" customHeight="1">
      <c r="I81" s="424"/>
      <c r="J81" s="424"/>
      <c r="K81" s="424"/>
      <c r="V81" s="401"/>
    </row>
    <row r="82" spans="1:22" s="402" customFormat="1" ht="15.95" customHeight="1">
      <c r="I82" s="424"/>
      <c r="J82" s="424"/>
      <c r="K82" s="424"/>
      <c r="V82" s="401"/>
    </row>
    <row r="83" spans="1:22" s="402" customFormat="1" ht="15.95" customHeight="1">
      <c r="I83" s="424"/>
      <c r="J83" s="424"/>
      <c r="K83" s="424"/>
      <c r="O83" s="399"/>
      <c r="P83" s="399"/>
      <c r="Q83" s="399"/>
      <c r="V83" s="401"/>
    </row>
    <row r="84" spans="1:22" ht="15.95" customHeight="1">
      <c r="A84" s="402"/>
      <c r="B84" s="402"/>
      <c r="C84" s="402"/>
      <c r="D84" s="402"/>
      <c r="E84" s="402"/>
      <c r="F84" s="402"/>
      <c r="G84" s="402"/>
      <c r="H84" s="402"/>
      <c r="I84" s="424"/>
      <c r="J84" s="424"/>
      <c r="K84" s="424"/>
      <c r="L84" s="402"/>
    </row>
    <row r="85" spans="1:22" ht="15.95" customHeight="1">
      <c r="A85" s="402"/>
      <c r="B85" s="402"/>
      <c r="C85" s="402"/>
      <c r="D85" s="402"/>
      <c r="E85" s="402"/>
      <c r="F85" s="402"/>
      <c r="G85" s="402"/>
      <c r="H85" s="402"/>
      <c r="I85" s="424"/>
      <c r="J85" s="424"/>
      <c r="K85" s="424"/>
      <c r="L85" s="402"/>
    </row>
    <row r="86" spans="1:22" ht="15.95" customHeight="1">
      <c r="B86" s="402"/>
      <c r="C86" s="402"/>
      <c r="D86" s="402"/>
      <c r="E86" s="402"/>
      <c r="F86" s="402"/>
      <c r="G86" s="402"/>
      <c r="H86" s="402"/>
      <c r="I86" s="424"/>
      <c r="J86" s="424"/>
      <c r="K86" s="424"/>
    </row>
  </sheetData>
  <mergeCells count="22">
    <mergeCell ref="O7:P7"/>
    <mergeCell ref="E7:E8"/>
    <mergeCell ref="O2:Q2"/>
    <mergeCell ref="J3:K3"/>
    <mergeCell ref="J4:K4"/>
    <mergeCell ref="J5:K5"/>
    <mergeCell ref="J7:J8"/>
    <mergeCell ref="K7:K8"/>
    <mergeCell ref="A2:G2"/>
    <mergeCell ref="A7:C8"/>
    <mergeCell ref="D7:D8"/>
    <mergeCell ref="F7:F8"/>
    <mergeCell ref="G7:H7"/>
    <mergeCell ref="A3:G3"/>
    <mergeCell ref="A4:G4"/>
    <mergeCell ref="A5:G5"/>
    <mergeCell ref="A6:G6"/>
    <mergeCell ref="A11:I11"/>
    <mergeCell ref="A9:C10"/>
    <mergeCell ref="L9:L10"/>
    <mergeCell ref="L7:L8"/>
    <mergeCell ref="K9:K10"/>
  </mergeCells>
  <phoneticPr fontId="3" type="noConversion"/>
  <printOptions horizontalCentered="1"/>
  <pageMargins left="0.11811023622047245" right="0.11811023622047245" top="0.39370078740157483" bottom="0.39370078740157483" header="0.31496062992125984" footer="0.31496062992125984"/>
  <pageSetup paperSize="9" scale="56" orientation="portrait" horizontalDpi="1200" verticalDpi="12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FF0000"/>
  </sheetPr>
  <dimension ref="A1:K41"/>
  <sheetViews>
    <sheetView view="pageBreakPreview" zoomScale="85" zoomScaleNormal="85" zoomScaleSheetLayoutView="85" workbookViewId="0">
      <selection activeCell="A3" sqref="A3:G3"/>
    </sheetView>
  </sheetViews>
  <sheetFormatPr defaultRowHeight="16.5"/>
  <cols>
    <col min="1" max="1" width="14.875" style="128" customWidth="1"/>
    <col min="2" max="2" width="25.75" style="128" customWidth="1"/>
    <col min="3" max="3" width="26.75" style="128" customWidth="1"/>
    <col min="4" max="4" width="16" style="128" customWidth="1"/>
    <col min="5" max="5" width="14.875" style="128" customWidth="1"/>
    <col min="6" max="7" width="17.25" style="128" customWidth="1"/>
    <col min="8" max="8" width="11.5" style="128" bestFit="1" customWidth="1"/>
    <col min="9" max="9" width="15.5" style="128" bestFit="1" customWidth="1"/>
    <col min="10" max="10" width="11.5" style="128" bestFit="1" customWidth="1"/>
    <col min="11" max="257" width="9" style="128"/>
    <col min="258" max="259" width="11.5" style="128" bestFit="1" customWidth="1"/>
    <col min="260" max="260" width="16" style="128" customWidth="1"/>
    <col min="261" max="261" width="15.25" style="128" bestFit="1" customWidth="1"/>
    <col min="262" max="262" width="13.5" style="128" bestFit="1" customWidth="1"/>
    <col min="263" max="263" width="13.375" style="128" bestFit="1" customWidth="1"/>
    <col min="264" max="264" width="11.5" style="128" bestFit="1" customWidth="1"/>
    <col min="265" max="265" width="15.5" style="128" bestFit="1" customWidth="1"/>
    <col min="266" max="266" width="11.5" style="128" bestFit="1" customWidth="1"/>
    <col min="267" max="513" width="9" style="128"/>
    <col min="514" max="515" width="11.5" style="128" bestFit="1" customWidth="1"/>
    <col min="516" max="516" width="16" style="128" customWidth="1"/>
    <col min="517" max="517" width="15.25" style="128" bestFit="1" customWidth="1"/>
    <col min="518" max="518" width="13.5" style="128" bestFit="1" customWidth="1"/>
    <col min="519" max="519" width="13.375" style="128" bestFit="1" customWidth="1"/>
    <col min="520" max="520" width="11.5" style="128" bestFit="1" customWidth="1"/>
    <col min="521" max="521" width="15.5" style="128" bestFit="1" customWidth="1"/>
    <col min="522" max="522" width="11.5" style="128" bestFit="1" customWidth="1"/>
    <col min="523" max="769" width="9" style="128"/>
    <col min="770" max="771" width="11.5" style="128" bestFit="1" customWidth="1"/>
    <col min="772" max="772" width="16" style="128" customWidth="1"/>
    <col min="773" max="773" width="15.25" style="128" bestFit="1" customWidth="1"/>
    <col min="774" max="774" width="13.5" style="128" bestFit="1" customWidth="1"/>
    <col min="775" max="775" width="13.375" style="128" bestFit="1" customWidth="1"/>
    <col min="776" max="776" width="11.5" style="128" bestFit="1" customWidth="1"/>
    <col min="777" max="777" width="15.5" style="128" bestFit="1" customWidth="1"/>
    <col min="778" max="778" width="11.5" style="128" bestFit="1" customWidth="1"/>
    <col min="779" max="1025" width="9" style="128"/>
    <col min="1026" max="1027" width="11.5" style="128" bestFit="1" customWidth="1"/>
    <col min="1028" max="1028" width="16" style="128" customWidth="1"/>
    <col min="1029" max="1029" width="15.25" style="128" bestFit="1" customWidth="1"/>
    <col min="1030" max="1030" width="13.5" style="128" bestFit="1" customWidth="1"/>
    <col min="1031" max="1031" width="13.375" style="128" bestFit="1" customWidth="1"/>
    <col min="1032" max="1032" width="11.5" style="128" bestFit="1" customWidth="1"/>
    <col min="1033" max="1033" width="15.5" style="128" bestFit="1" customWidth="1"/>
    <col min="1034" max="1034" width="11.5" style="128" bestFit="1" customWidth="1"/>
    <col min="1035" max="1281" width="9" style="128"/>
    <col min="1282" max="1283" width="11.5" style="128" bestFit="1" customWidth="1"/>
    <col min="1284" max="1284" width="16" style="128" customWidth="1"/>
    <col min="1285" max="1285" width="15.25" style="128" bestFit="1" customWidth="1"/>
    <col min="1286" max="1286" width="13.5" style="128" bestFit="1" customWidth="1"/>
    <col min="1287" max="1287" width="13.375" style="128" bestFit="1" customWidth="1"/>
    <col min="1288" max="1288" width="11.5" style="128" bestFit="1" customWidth="1"/>
    <col min="1289" max="1289" width="15.5" style="128" bestFit="1" customWidth="1"/>
    <col min="1290" max="1290" width="11.5" style="128" bestFit="1" customWidth="1"/>
    <col min="1291" max="1537" width="9" style="128"/>
    <col min="1538" max="1539" width="11.5" style="128" bestFit="1" customWidth="1"/>
    <col min="1540" max="1540" width="16" style="128" customWidth="1"/>
    <col min="1541" max="1541" width="15.25" style="128" bestFit="1" customWidth="1"/>
    <col min="1542" max="1542" width="13.5" style="128" bestFit="1" customWidth="1"/>
    <col min="1543" max="1543" width="13.375" style="128" bestFit="1" customWidth="1"/>
    <col min="1544" max="1544" width="11.5" style="128" bestFit="1" customWidth="1"/>
    <col min="1545" max="1545" width="15.5" style="128" bestFit="1" customWidth="1"/>
    <col min="1546" max="1546" width="11.5" style="128" bestFit="1" customWidth="1"/>
    <col min="1547" max="1793" width="9" style="128"/>
    <col min="1794" max="1795" width="11.5" style="128" bestFit="1" customWidth="1"/>
    <col min="1796" max="1796" width="16" style="128" customWidth="1"/>
    <col min="1797" max="1797" width="15.25" style="128" bestFit="1" customWidth="1"/>
    <col min="1798" max="1798" width="13.5" style="128" bestFit="1" customWidth="1"/>
    <col min="1799" max="1799" width="13.375" style="128" bestFit="1" customWidth="1"/>
    <col min="1800" max="1800" width="11.5" style="128" bestFit="1" customWidth="1"/>
    <col min="1801" max="1801" width="15.5" style="128" bestFit="1" customWidth="1"/>
    <col min="1802" max="1802" width="11.5" style="128" bestFit="1" customWidth="1"/>
    <col min="1803" max="2049" width="9" style="128"/>
    <col min="2050" max="2051" width="11.5" style="128" bestFit="1" customWidth="1"/>
    <col min="2052" max="2052" width="16" style="128" customWidth="1"/>
    <col min="2053" max="2053" width="15.25" style="128" bestFit="1" customWidth="1"/>
    <col min="2054" max="2054" width="13.5" style="128" bestFit="1" customWidth="1"/>
    <col min="2055" max="2055" width="13.375" style="128" bestFit="1" customWidth="1"/>
    <col min="2056" max="2056" width="11.5" style="128" bestFit="1" customWidth="1"/>
    <col min="2057" max="2057" width="15.5" style="128" bestFit="1" customWidth="1"/>
    <col min="2058" max="2058" width="11.5" style="128" bestFit="1" customWidth="1"/>
    <col min="2059" max="2305" width="9" style="128"/>
    <col min="2306" max="2307" width="11.5" style="128" bestFit="1" customWidth="1"/>
    <col min="2308" max="2308" width="16" style="128" customWidth="1"/>
    <col min="2309" max="2309" width="15.25" style="128" bestFit="1" customWidth="1"/>
    <col min="2310" max="2310" width="13.5" style="128" bestFit="1" customWidth="1"/>
    <col min="2311" max="2311" width="13.375" style="128" bestFit="1" customWidth="1"/>
    <col min="2312" max="2312" width="11.5" style="128" bestFit="1" customWidth="1"/>
    <col min="2313" max="2313" width="15.5" style="128" bestFit="1" customWidth="1"/>
    <col min="2314" max="2314" width="11.5" style="128" bestFit="1" customWidth="1"/>
    <col min="2315" max="2561" width="9" style="128"/>
    <col min="2562" max="2563" width="11.5" style="128" bestFit="1" customWidth="1"/>
    <col min="2564" max="2564" width="16" style="128" customWidth="1"/>
    <col min="2565" max="2565" width="15.25" style="128" bestFit="1" customWidth="1"/>
    <col min="2566" max="2566" width="13.5" style="128" bestFit="1" customWidth="1"/>
    <col min="2567" max="2567" width="13.375" style="128" bestFit="1" customWidth="1"/>
    <col min="2568" max="2568" width="11.5" style="128" bestFit="1" customWidth="1"/>
    <col min="2569" max="2569" width="15.5" style="128" bestFit="1" customWidth="1"/>
    <col min="2570" max="2570" width="11.5" style="128" bestFit="1" customWidth="1"/>
    <col min="2571" max="2817" width="9" style="128"/>
    <col min="2818" max="2819" width="11.5" style="128" bestFit="1" customWidth="1"/>
    <col min="2820" max="2820" width="16" style="128" customWidth="1"/>
    <col min="2821" max="2821" width="15.25" style="128" bestFit="1" customWidth="1"/>
    <col min="2822" max="2822" width="13.5" style="128" bestFit="1" customWidth="1"/>
    <col min="2823" max="2823" width="13.375" style="128" bestFit="1" customWidth="1"/>
    <col min="2824" max="2824" width="11.5" style="128" bestFit="1" customWidth="1"/>
    <col min="2825" max="2825" width="15.5" style="128" bestFit="1" customWidth="1"/>
    <col min="2826" max="2826" width="11.5" style="128" bestFit="1" customWidth="1"/>
    <col min="2827" max="3073" width="9" style="128"/>
    <col min="3074" max="3075" width="11.5" style="128" bestFit="1" customWidth="1"/>
    <col min="3076" max="3076" width="16" style="128" customWidth="1"/>
    <col min="3077" max="3077" width="15.25" style="128" bestFit="1" customWidth="1"/>
    <col min="3078" max="3078" width="13.5" style="128" bestFit="1" customWidth="1"/>
    <col min="3079" max="3079" width="13.375" style="128" bestFit="1" customWidth="1"/>
    <col min="3080" max="3080" width="11.5" style="128" bestFit="1" customWidth="1"/>
    <col min="3081" max="3081" width="15.5" style="128" bestFit="1" customWidth="1"/>
    <col min="3082" max="3082" width="11.5" style="128" bestFit="1" customWidth="1"/>
    <col min="3083" max="3329" width="9" style="128"/>
    <col min="3330" max="3331" width="11.5" style="128" bestFit="1" customWidth="1"/>
    <col min="3332" max="3332" width="16" style="128" customWidth="1"/>
    <col min="3333" max="3333" width="15.25" style="128" bestFit="1" customWidth="1"/>
    <col min="3334" max="3334" width="13.5" style="128" bestFit="1" customWidth="1"/>
    <col min="3335" max="3335" width="13.375" style="128" bestFit="1" customWidth="1"/>
    <col min="3336" max="3336" width="11.5" style="128" bestFit="1" customWidth="1"/>
    <col min="3337" max="3337" width="15.5" style="128" bestFit="1" customWidth="1"/>
    <col min="3338" max="3338" width="11.5" style="128" bestFit="1" customWidth="1"/>
    <col min="3339" max="3585" width="9" style="128"/>
    <col min="3586" max="3587" width="11.5" style="128" bestFit="1" customWidth="1"/>
    <col min="3588" max="3588" width="16" style="128" customWidth="1"/>
    <col min="3589" max="3589" width="15.25" style="128" bestFit="1" customWidth="1"/>
    <col min="3590" max="3590" width="13.5" style="128" bestFit="1" customWidth="1"/>
    <col min="3591" max="3591" width="13.375" style="128" bestFit="1" customWidth="1"/>
    <col min="3592" max="3592" width="11.5" style="128" bestFit="1" customWidth="1"/>
    <col min="3593" max="3593" width="15.5" style="128" bestFit="1" customWidth="1"/>
    <col min="3594" max="3594" width="11.5" style="128" bestFit="1" customWidth="1"/>
    <col min="3595" max="3841" width="9" style="128"/>
    <col min="3842" max="3843" width="11.5" style="128" bestFit="1" customWidth="1"/>
    <col min="3844" max="3844" width="16" style="128" customWidth="1"/>
    <col min="3845" max="3845" width="15.25" style="128" bestFit="1" customWidth="1"/>
    <col min="3846" max="3846" width="13.5" style="128" bestFit="1" customWidth="1"/>
    <col min="3847" max="3847" width="13.375" style="128" bestFit="1" customWidth="1"/>
    <col min="3848" max="3848" width="11.5" style="128" bestFit="1" customWidth="1"/>
    <col min="3849" max="3849" width="15.5" style="128" bestFit="1" customWidth="1"/>
    <col min="3850" max="3850" width="11.5" style="128" bestFit="1" customWidth="1"/>
    <col min="3851" max="4097" width="9" style="128"/>
    <col min="4098" max="4099" width="11.5" style="128" bestFit="1" customWidth="1"/>
    <col min="4100" max="4100" width="16" style="128" customWidth="1"/>
    <col min="4101" max="4101" width="15.25" style="128" bestFit="1" customWidth="1"/>
    <col min="4102" max="4102" width="13.5" style="128" bestFit="1" customWidth="1"/>
    <col min="4103" max="4103" width="13.375" style="128" bestFit="1" customWidth="1"/>
    <col min="4104" max="4104" width="11.5" style="128" bestFit="1" customWidth="1"/>
    <col min="4105" max="4105" width="15.5" style="128" bestFit="1" customWidth="1"/>
    <col min="4106" max="4106" width="11.5" style="128" bestFit="1" customWidth="1"/>
    <col min="4107" max="4353" width="9" style="128"/>
    <col min="4354" max="4355" width="11.5" style="128" bestFit="1" customWidth="1"/>
    <col min="4356" max="4356" width="16" style="128" customWidth="1"/>
    <col min="4357" max="4357" width="15.25" style="128" bestFit="1" customWidth="1"/>
    <col min="4358" max="4358" width="13.5" style="128" bestFit="1" customWidth="1"/>
    <col min="4359" max="4359" width="13.375" style="128" bestFit="1" customWidth="1"/>
    <col min="4360" max="4360" width="11.5" style="128" bestFit="1" customWidth="1"/>
    <col min="4361" max="4361" width="15.5" style="128" bestFit="1" customWidth="1"/>
    <col min="4362" max="4362" width="11.5" style="128" bestFit="1" customWidth="1"/>
    <col min="4363" max="4609" width="9" style="128"/>
    <col min="4610" max="4611" width="11.5" style="128" bestFit="1" customWidth="1"/>
    <col min="4612" max="4612" width="16" style="128" customWidth="1"/>
    <col min="4613" max="4613" width="15.25" style="128" bestFit="1" customWidth="1"/>
    <col min="4614" max="4614" width="13.5" style="128" bestFit="1" customWidth="1"/>
    <col min="4615" max="4615" width="13.375" style="128" bestFit="1" customWidth="1"/>
    <col min="4616" max="4616" width="11.5" style="128" bestFit="1" customWidth="1"/>
    <col min="4617" max="4617" width="15.5" style="128" bestFit="1" customWidth="1"/>
    <col min="4618" max="4618" width="11.5" style="128" bestFit="1" customWidth="1"/>
    <col min="4619" max="4865" width="9" style="128"/>
    <col min="4866" max="4867" width="11.5" style="128" bestFit="1" customWidth="1"/>
    <col min="4868" max="4868" width="16" style="128" customWidth="1"/>
    <col min="4869" max="4869" width="15.25" style="128" bestFit="1" customWidth="1"/>
    <col min="4870" max="4870" width="13.5" style="128" bestFit="1" customWidth="1"/>
    <col min="4871" max="4871" width="13.375" style="128" bestFit="1" customWidth="1"/>
    <col min="4872" max="4872" width="11.5" style="128" bestFit="1" customWidth="1"/>
    <col min="4873" max="4873" width="15.5" style="128" bestFit="1" customWidth="1"/>
    <col min="4874" max="4874" width="11.5" style="128" bestFit="1" customWidth="1"/>
    <col min="4875" max="5121" width="9" style="128"/>
    <col min="5122" max="5123" width="11.5" style="128" bestFit="1" customWidth="1"/>
    <col min="5124" max="5124" width="16" style="128" customWidth="1"/>
    <col min="5125" max="5125" width="15.25" style="128" bestFit="1" customWidth="1"/>
    <col min="5126" max="5126" width="13.5" style="128" bestFit="1" customWidth="1"/>
    <col min="5127" max="5127" width="13.375" style="128" bestFit="1" customWidth="1"/>
    <col min="5128" max="5128" width="11.5" style="128" bestFit="1" customWidth="1"/>
    <col min="5129" max="5129" width="15.5" style="128" bestFit="1" customWidth="1"/>
    <col min="5130" max="5130" width="11.5" style="128" bestFit="1" customWidth="1"/>
    <col min="5131" max="5377" width="9" style="128"/>
    <col min="5378" max="5379" width="11.5" style="128" bestFit="1" customWidth="1"/>
    <col min="5380" max="5380" width="16" style="128" customWidth="1"/>
    <col min="5381" max="5381" width="15.25" style="128" bestFit="1" customWidth="1"/>
    <col min="5382" max="5382" width="13.5" style="128" bestFit="1" customWidth="1"/>
    <col min="5383" max="5383" width="13.375" style="128" bestFit="1" customWidth="1"/>
    <col min="5384" max="5384" width="11.5" style="128" bestFit="1" customWidth="1"/>
    <col min="5385" max="5385" width="15.5" style="128" bestFit="1" customWidth="1"/>
    <col min="5386" max="5386" width="11.5" style="128" bestFit="1" customWidth="1"/>
    <col min="5387" max="5633" width="9" style="128"/>
    <col min="5634" max="5635" width="11.5" style="128" bestFit="1" customWidth="1"/>
    <col min="5636" max="5636" width="16" style="128" customWidth="1"/>
    <col min="5637" max="5637" width="15.25" style="128" bestFit="1" customWidth="1"/>
    <col min="5638" max="5638" width="13.5" style="128" bestFit="1" customWidth="1"/>
    <col min="5639" max="5639" width="13.375" style="128" bestFit="1" customWidth="1"/>
    <col min="5640" max="5640" width="11.5" style="128" bestFit="1" customWidth="1"/>
    <col min="5641" max="5641" width="15.5" style="128" bestFit="1" customWidth="1"/>
    <col min="5642" max="5642" width="11.5" style="128" bestFit="1" customWidth="1"/>
    <col min="5643" max="5889" width="9" style="128"/>
    <col min="5890" max="5891" width="11.5" style="128" bestFit="1" customWidth="1"/>
    <col min="5892" max="5892" width="16" style="128" customWidth="1"/>
    <col min="5893" max="5893" width="15.25" style="128" bestFit="1" customWidth="1"/>
    <col min="5894" max="5894" width="13.5" style="128" bestFit="1" customWidth="1"/>
    <col min="5895" max="5895" width="13.375" style="128" bestFit="1" customWidth="1"/>
    <col min="5896" max="5896" width="11.5" style="128" bestFit="1" customWidth="1"/>
    <col min="5897" max="5897" width="15.5" style="128" bestFit="1" customWidth="1"/>
    <col min="5898" max="5898" width="11.5" style="128" bestFit="1" customWidth="1"/>
    <col min="5899" max="6145" width="9" style="128"/>
    <col min="6146" max="6147" width="11.5" style="128" bestFit="1" customWidth="1"/>
    <col min="6148" max="6148" width="16" style="128" customWidth="1"/>
    <col min="6149" max="6149" width="15.25" style="128" bestFit="1" customWidth="1"/>
    <col min="6150" max="6150" width="13.5" style="128" bestFit="1" customWidth="1"/>
    <col min="6151" max="6151" width="13.375" style="128" bestFit="1" customWidth="1"/>
    <col min="6152" max="6152" width="11.5" style="128" bestFit="1" customWidth="1"/>
    <col min="6153" max="6153" width="15.5" style="128" bestFit="1" customWidth="1"/>
    <col min="6154" max="6154" width="11.5" style="128" bestFit="1" customWidth="1"/>
    <col min="6155" max="6401" width="9" style="128"/>
    <col min="6402" max="6403" width="11.5" style="128" bestFit="1" customWidth="1"/>
    <col min="6404" max="6404" width="16" style="128" customWidth="1"/>
    <col min="6405" max="6405" width="15.25" style="128" bestFit="1" customWidth="1"/>
    <col min="6406" max="6406" width="13.5" style="128" bestFit="1" customWidth="1"/>
    <col min="6407" max="6407" width="13.375" style="128" bestFit="1" customWidth="1"/>
    <col min="6408" max="6408" width="11.5" style="128" bestFit="1" customWidth="1"/>
    <col min="6409" max="6409" width="15.5" style="128" bestFit="1" customWidth="1"/>
    <col min="6410" max="6410" width="11.5" style="128" bestFit="1" customWidth="1"/>
    <col min="6411" max="6657" width="9" style="128"/>
    <col min="6658" max="6659" width="11.5" style="128" bestFit="1" customWidth="1"/>
    <col min="6660" max="6660" width="16" style="128" customWidth="1"/>
    <col min="6661" max="6661" width="15.25" style="128" bestFit="1" customWidth="1"/>
    <col min="6662" max="6662" width="13.5" style="128" bestFit="1" customWidth="1"/>
    <col min="6663" max="6663" width="13.375" style="128" bestFit="1" customWidth="1"/>
    <col min="6664" max="6664" width="11.5" style="128" bestFit="1" customWidth="1"/>
    <col min="6665" max="6665" width="15.5" style="128" bestFit="1" customWidth="1"/>
    <col min="6666" max="6666" width="11.5" style="128" bestFit="1" customWidth="1"/>
    <col min="6667" max="6913" width="9" style="128"/>
    <col min="6914" max="6915" width="11.5" style="128" bestFit="1" customWidth="1"/>
    <col min="6916" max="6916" width="16" style="128" customWidth="1"/>
    <col min="6917" max="6917" width="15.25" style="128" bestFit="1" customWidth="1"/>
    <col min="6918" max="6918" width="13.5" style="128" bestFit="1" customWidth="1"/>
    <col min="6919" max="6919" width="13.375" style="128" bestFit="1" customWidth="1"/>
    <col min="6920" max="6920" width="11.5" style="128" bestFit="1" customWidth="1"/>
    <col min="6921" max="6921" width="15.5" style="128" bestFit="1" customWidth="1"/>
    <col min="6922" max="6922" width="11.5" style="128" bestFit="1" customWidth="1"/>
    <col min="6923" max="7169" width="9" style="128"/>
    <col min="7170" max="7171" width="11.5" style="128" bestFit="1" customWidth="1"/>
    <col min="7172" max="7172" width="16" style="128" customWidth="1"/>
    <col min="7173" max="7173" width="15.25" style="128" bestFit="1" customWidth="1"/>
    <col min="7174" max="7174" width="13.5" style="128" bestFit="1" customWidth="1"/>
    <col min="7175" max="7175" width="13.375" style="128" bestFit="1" customWidth="1"/>
    <col min="7176" max="7176" width="11.5" style="128" bestFit="1" customWidth="1"/>
    <col min="7177" max="7177" width="15.5" style="128" bestFit="1" customWidth="1"/>
    <col min="7178" max="7178" width="11.5" style="128" bestFit="1" customWidth="1"/>
    <col min="7179" max="7425" width="9" style="128"/>
    <col min="7426" max="7427" width="11.5" style="128" bestFit="1" customWidth="1"/>
    <col min="7428" max="7428" width="16" style="128" customWidth="1"/>
    <col min="7429" max="7429" width="15.25" style="128" bestFit="1" customWidth="1"/>
    <col min="7430" max="7430" width="13.5" style="128" bestFit="1" customWidth="1"/>
    <col min="7431" max="7431" width="13.375" style="128" bestFit="1" customWidth="1"/>
    <col min="7432" max="7432" width="11.5" style="128" bestFit="1" customWidth="1"/>
    <col min="7433" max="7433" width="15.5" style="128" bestFit="1" customWidth="1"/>
    <col min="7434" max="7434" width="11.5" style="128" bestFit="1" customWidth="1"/>
    <col min="7435" max="7681" width="9" style="128"/>
    <col min="7682" max="7683" width="11.5" style="128" bestFit="1" customWidth="1"/>
    <col min="7684" max="7684" width="16" style="128" customWidth="1"/>
    <col min="7685" max="7685" width="15.25" style="128" bestFit="1" customWidth="1"/>
    <col min="7686" max="7686" width="13.5" style="128" bestFit="1" customWidth="1"/>
    <col min="7687" max="7687" width="13.375" style="128" bestFit="1" customWidth="1"/>
    <col min="7688" max="7688" width="11.5" style="128" bestFit="1" customWidth="1"/>
    <col min="7689" max="7689" width="15.5" style="128" bestFit="1" customWidth="1"/>
    <col min="7690" max="7690" width="11.5" style="128" bestFit="1" customWidth="1"/>
    <col min="7691" max="7937" width="9" style="128"/>
    <col min="7938" max="7939" width="11.5" style="128" bestFit="1" customWidth="1"/>
    <col min="7940" max="7940" width="16" style="128" customWidth="1"/>
    <col min="7941" max="7941" width="15.25" style="128" bestFit="1" customWidth="1"/>
    <col min="7942" max="7942" width="13.5" style="128" bestFit="1" customWidth="1"/>
    <col min="7943" max="7943" width="13.375" style="128" bestFit="1" customWidth="1"/>
    <col min="7944" max="7944" width="11.5" style="128" bestFit="1" customWidth="1"/>
    <col min="7945" max="7945" width="15.5" style="128" bestFit="1" customWidth="1"/>
    <col min="7946" max="7946" width="11.5" style="128" bestFit="1" customWidth="1"/>
    <col min="7947" max="8193" width="9" style="128"/>
    <col min="8194" max="8195" width="11.5" style="128" bestFit="1" customWidth="1"/>
    <col min="8196" max="8196" width="16" style="128" customWidth="1"/>
    <col min="8197" max="8197" width="15.25" style="128" bestFit="1" customWidth="1"/>
    <col min="8198" max="8198" width="13.5" style="128" bestFit="1" customWidth="1"/>
    <col min="8199" max="8199" width="13.375" style="128" bestFit="1" customWidth="1"/>
    <col min="8200" max="8200" width="11.5" style="128" bestFit="1" customWidth="1"/>
    <col min="8201" max="8201" width="15.5" style="128" bestFit="1" customWidth="1"/>
    <col min="8202" max="8202" width="11.5" style="128" bestFit="1" customWidth="1"/>
    <col min="8203" max="8449" width="9" style="128"/>
    <col min="8450" max="8451" width="11.5" style="128" bestFit="1" customWidth="1"/>
    <col min="8452" max="8452" width="16" style="128" customWidth="1"/>
    <col min="8453" max="8453" width="15.25" style="128" bestFit="1" customWidth="1"/>
    <col min="8454" max="8454" width="13.5" style="128" bestFit="1" customWidth="1"/>
    <col min="8455" max="8455" width="13.375" style="128" bestFit="1" customWidth="1"/>
    <col min="8456" max="8456" width="11.5" style="128" bestFit="1" customWidth="1"/>
    <col min="8457" max="8457" width="15.5" style="128" bestFit="1" customWidth="1"/>
    <col min="8458" max="8458" width="11.5" style="128" bestFit="1" customWidth="1"/>
    <col min="8459" max="8705" width="9" style="128"/>
    <col min="8706" max="8707" width="11.5" style="128" bestFit="1" customWidth="1"/>
    <col min="8708" max="8708" width="16" style="128" customWidth="1"/>
    <col min="8709" max="8709" width="15.25" style="128" bestFit="1" customWidth="1"/>
    <col min="8710" max="8710" width="13.5" style="128" bestFit="1" customWidth="1"/>
    <col min="8711" max="8711" width="13.375" style="128" bestFit="1" customWidth="1"/>
    <col min="8712" max="8712" width="11.5" style="128" bestFit="1" customWidth="1"/>
    <col min="8713" max="8713" width="15.5" style="128" bestFit="1" customWidth="1"/>
    <col min="8714" max="8714" width="11.5" style="128" bestFit="1" customWidth="1"/>
    <col min="8715" max="8961" width="9" style="128"/>
    <col min="8962" max="8963" width="11.5" style="128" bestFit="1" customWidth="1"/>
    <col min="8964" max="8964" width="16" style="128" customWidth="1"/>
    <col min="8965" max="8965" width="15.25" style="128" bestFit="1" customWidth="1"/>
    <col min="8966" max="8966" width="13.5" style="128" bestFit="1" customWidth="1"/>
    <col min="8967" max="8967" width="13.375" style="128" bestFit="1" customWidth="1"/>
    <col min="8968" max="8968" width="11.5" style="128" bestFit="1" customWidth="1"/>
    <col min="8969" max="8969" width="15.5" style="128" bestFit="1" customWidth="1"/>
    <col min="8970" max="8970" width="11.5" style="128" bestFit="1" customWidth="1"/>
    <col min="8971" max="9217" width="9" style="128"/>
    <col min="9218" max="9219" width="11.5" style="128" bestFit="1" customWidth="1"/>
    <col min="9220" max="9220" width="16" style="128" customWidth="1"/>
    <col min="9221" max="9221" width="15.25" style="128" bestFit="1" customWidth="1"/>
    <col min="9222" max="9222" width="13.5" style="128" bestFit="1" customWidth="1"/>
    <col min="9223" max="9223" width="13.375" style="128" bestFit="1" customWidth="1"/>
    <col min="9224" max="9224" width="11.5" style="128" bestFit="1" customWidth="1"/>
    <col min="9225" max="9225" width="15.5" style="128" bestFit="1" customWidth="1"/>
    <col min="9226" max="9226" width="11.5" style="128" bestFit="1" customWidth="1"/>
    <col min="9227" max="9473" width="9" style="128"/>
    <col min="9474" max="9475" width="11.5" style="128" bestFit="1" customWidth="1"/>
    <col min="9476" max="9476" width="16" style="128" customWidth="1"/>
    <col min="9477" max="9477" width="15.25" style="128" bestFit="1" customWidth="1"/>
    <col min="9478" max="9478" width="13.5" style="128" bestFit="1" customWidth="1"/>
    <col min="9479" max="9479" width="13.375" style="128" bestFit="1" customWidth="1"/>
    <col min="9480" max="9480" width="11.5" style="128" bestFit="1" customWidth="1"/>
    <col min="9481" max="9481" width="15.5" style="128" bestFit="1" customWidth="1"/>
    <col min="9482" max="9482" width="11.5" style="128" bestFit="1" customWidth="1"/>
    <col min="9483" max="9729" width="9" style="128"/>
    <col min="9730" max="9731" width="11.5" style="128" bestFit="1" customWidth="1"/>
    <col min="9732" max="9732" width="16" style="128" customWidth="1"/>
    <col min="9733" max="9733" width="15.25" style="128" bestFit="1" customWidth="1"/>
    <col min="9734" max="9734" width="13.5" style="128" bestFit="1" customWidth="1"/>
    <col min="9735" max="9735" width="13.375" style="128" bestFit="1" customWidth="1"/>
    <col min="9736" max="9736" width="11.5" style="128" bestFit="1" customWidth="1"/>
    <col min="9737" max="9737" width="15.5" style="128" bestFit="1" customWidth="1"/>
    <col min="9738" max="9738" width="11.5" style="128" bestFit="1" customWidth="1"/>
    <col min="9739" max="9985" width="9" style="128"/>
    <col min="9986" max="9987" width="11.5" style="128" bestFit="1" customWidth="1"/>
    <col min="9988" max="9988" width="16" style="128" customWidth="1"/>
    <col min="9989" max="9989" width="15.25" style="128" bestFit="1" customWidth="1"/>
    <col min="9990" max="9990" width="13.5" style="128" bestFit="1" customWidth="1"/>
    <col min="9991" max="9991" width="13.375" style="128" bestFit="1" customWidth="1"/>
    <col min="9992" max="9992" width="11.5" style="128" bestFit="1" customWidth="1"/>
    <col min="9993" max="9993" width="15.5" style="128" bestFit="1" customWidth="1"/>
    <col min="9994" max="9994" width="11.5" style="128" bestFit="1" customWidth="1"/>
    <col min="9995" max="10241" width="9" style="128"/>
    <col min="10242" max="10243" width="11.5" style="128" bestFit="1" customWidth="1"/>
    <col min="10244" max="10244" width="16" style="128" customWidth="1"/>
    <col min="10245" max="10245" width="15.25" style="128" bestFit="1" customWidth="1"/>
    <col min="10246" max="10246" width="13.5" style="128" bestFit="1" customWidth="1"/>
    <col min="10247" max="10247" width="13.375" style="128" bestFit="1" customWidth="1"/>
    <col min="10248" max="10248" width="11.5" style="128" bestFit="1" customWidth="1"/>
    <col min="10249" max="10249" width="15.5" style="128" bestFit="1" customWidth="1"/>
    <col min="10250" max="10250" width="11.5" style="128" bestFit="1" customWidth="1"/>
    <col min="10251" max="10497" width="9" style="128"/>
    <col min="10498" max="10499" width="11.5" style="128" bestFit="1" customWidth="1"/>
    <col min="10500" max="10500" width="16" style="128" customWidth="1"/>
    <col min="10501" max="10501" width="15.25" style="128" bestFit="1" customWidth="1"/>
    <col min="10502" max="10502" width="13.5" style="128" bestFit="1" customWidth="1"/>
    <col min="10503" max="10503" width="13.375" style="128" bestFit="1" customWidth="1"/>
    <col min="10504" max="10504" width="11.5" style="128" bestFit="1" customWidth="1"/>
    <col min="10505" max="10505" width="15.5" style="128" bestFit="1" customWidth="1"/>
    <col min="10506" max="10506" width="11.5" style="128" bestFit="1" customWidth="1"/>
    <col min="10507" max="10753" width="9" style="128"/>
    <col min="10754" max="10755" width="11.5" style="128" bestFit="1" customWidth="1"/>
    <col min="10756" max="10756" width="16" style="128" customWidth="1"/>
    <col min="10757" max="10757" width="15.25" style="128" bestFit="1" customWidth="1"/>
    <col min="10758" max="10758" width="13.5" style="128" bestFit="1" customWidth="1"/>
    <col min="10759" max="10759" width="13.375" style="128" bestFit="1" customWidth="1"/>
    <col min="10760" max="10760" width="11.5" style="128" bestFit="1" customWidth="1"/>
    <col min="10761" max="10761" width="15.5" style="128" bestFit="1" customWidth="1"/>
    <col min="10762" max="10762" width="11.5" style="128" bestFit="1" customWidth="1"/>
    <col min="10763" max="11009" width="9" style="128"/>
    <col min="11010" max="11011" width="11.5" style="128" bestFit="1" customWidth="1"/>
    <col min="11012" max="11012" width="16" style="128" customWidth="1"/>
    <col min="11013" max="11013" width="15.25" style="128" bestFit="1" customWidth="1"/>
    <col min="11014" max="11014" width="13.5" style="128" bestFit="1" customWidth="1"/>
    <col min="11015" max="11015" width="13.375" style="128" bestFit="1" customWidth="1"/>
    <col min="11016" max="11016" width="11.5" style="128" bestFit="1" customWidth="1"/>
    <col min="11017" max="11017" width="15.5" style="128" bestFit="1" customWidth="1"/>
    <col min="11018" max="11018" width="11.5" style="128" bestFit="1" customWidth="1"/>
    <col min="11019" max="11265" width="9" style="128"/>
    <col min="11266" max="11267" width="11.5" style="128" bestFit="1" customWidth="1"/>
    <col min="11268" max="11268" width="16" style="128" customWidth="1"/>
    <col min="11269" max="11269" width="15.25" style="128" bestFit="1" customWidth="1"/>
    <col min="11270" max="11270" width="13.5" style="128" bestFit="1" customWidth="1"/>
    <col min="11271" max="11271" width="13.375" style="128" bestFit="1" customWidth="1"/>
    <col min="11272" max="11272" width="11.5" style="128" bestFit="1" customWidth="1"/>
    <col min="11273" max="11273" width="15.5" style="128" bestFit="1" customWidth="1"/>
    <col min="11274" max="11274" width="11.5" style="128" bestFit="1" customWidth="1"/>
    <col min="11275" max="11521" width="9" style="128"/>
    <col min="11522" max="11523" width="11.5" style="128" bestFit="1" customWidth="1"/>
    <col min="11524" max="11524" width="16" style="128" customWidth="1"/>
    <col min="11525" max="11525" width="15.25" style="128" bestFit="1" customWidth="1"/>
    <col min="11526" max="11526" width="13.5" style="128" bestFit="1" customWidth="1"/>
    <col min="11527" max="11527" width="13.375" style="128" bestFit="1" customWidth="1"/>
    <col min="11528" max="11528" width="11.5" style="128" bestFit="1" customWidth="1"/>
    <col min="11529" max="11529" width="15.5" style="128" bestFit="1" customWidth="1"/>
    <col min="11530" max="11530" width="11.5" style="128" bestFit="1" customWidth="1"/>
    <col min="11531" max="11777" width="9" style="128"/>
    <col min="11778" max="11779" width="11.5" style="128" bestFit="1" customWidth="1"/>
    <col min="11780" max="11780" width="16" style="128" customWidth="1"/>
    <col min="11781" max="11781" width="15.25" style="128" bestFit="1" customWidth="1"/>
    <col min="11782" max="11782" width="13.5" style="128" bestFit="1" customWidth="1"/>
    <col min="11783" max="11783" width="13.375" style="128" bestFit="1" customWidth="1"/>
    <col min="11784" max="11784" width="11.5" style="128" bestFit="1" customWidth="1"/>
    <col min="11785" max="11785" width="15.5" style="128" bestFit="1" customWidth="1"/>
    <col min="11786" max="11786" width="11.5" style="128" bestFit="1" customWidth="1"/>
    <col min="11787" max="12033" width="9" style="128"/>
    <col min="12034" max="12035" width="11.5" style="128" bestFit="1" customWidth="1"/>
    <col min="12036" max="12036" width="16" style="128" customWidth="1"/>
    <col min="12037" max="12037" width="15.25" style="128" bestFit="1" customWidth="1"/>
    <col min="12038" max="12038" width="13.5" style="128" bestFit="1" customWidth="1"/>
    <col min="12039" max="12039" width="13.375" style="128" bestFit="1" customWidth="1"/>
    <col min="12040" max="12040" width="11.5" style="128" bestFit="1" customWidth="1"/>
    <col min="12041" max="12041" width="15.5" style="128" bestFit="1" customWidth="1"/>
    <col min="12042" max="12042" width="11.5" style="128" bestFit="1" customWidth="1"/>
    <col min="12043" max="12289" width="9" style="128"/>
    <col min="12290" max="12291" width="11.5" style="128" bestFit="1" customWidth="1"/>
    <col min="12292" max="12292" width="16" style="128" customWidth="1"/>
    <col min="12293" max="12293" width="15.25" style="128" bestFit="1" customWidth="1"/>
    <col min="12294" max="12294" width="13.5" style="128" bestFit="1" customWidth="1"/>
    <col min="12295" max="12295" width="13.375" style="128" bestFit="1" customWidth="1"/>
    <col min="12296" max="12296" width="11.5" style="128" bestFit="1" customWidth="1"/>
    <col min="12297" max="12297" width="15.5" style="128" bestFit="1" customWidth="1"/>
    <col min="12298" max="12298" width="11.5" style="128" bestFit="1" customWidth="1"/>
    <col min="12299" max="12545" width="9" style="128"/>
    <col min="12546" max="12547" width="11.5" style="128" bestFit="1" customWidth="1"/>
    <col min="12548" max="12548" width="16" style="128" customWidth="1"/>
    <col min="12549" max="12549" width="15.25" style="128" bestFit="1" customWidth="1"/>
    <col min="12550" max="12550" width="13.5" style="128" bestFit="1" customWidth="1"/>
    <col min="12551" max="12551" width="13.375" style="128" bestFit="1" customWidth="1"/>
    <col min="12552" max="12552" width="11.5" style="128" bestFit="1" customWidth="1"/>
    <col min="12553" max="12553" width="15.5" style="128" bestFit="1" customWidth="1"/>
    <col min="12554" max="12554" width="11.5" style="128" bestFit="1" customWidth="1"/>
    <col min="12555" max="12801" width="9" style="128"/>
    <col min="12802" max="12803" width="11.5" style="128" bestFit="1" customWidth="1"/>
    <col min="12804" max="12804" width="16" style="128" customWidth="1"/>
    <col min="12805" max="12805" width="15.25" style="128" bestFit="1" customWidth="1"/>
    <col min="12806" max="12806" width="13.5" style="128" bestFit="1" customWidth="1"/>
    <col min="12807" max="12807" width="13.375" style="128" bestFit="1" customWidth="1"/>
    <col min="12808" max="12808" width="11.5" style="128" bestFit="1" customWidth="1"/>
    <col min="12809" max="12809" width="15.5" style="128" bestFit="1" customWidth="1"/>
    <col min="12810" max="12810" width="11.5" style="128" bestFit="1" customWidth="1"/>
    <col min="12811" max="13057" width="9" style="128"/>
    <col min="13058" max="13059" width="11.5" style="128" bestFit="1" customWidth="1"/>
    <col min="13060" max="13060" width="16" style="128" customWidth="1"/>
    <col min="13061" max="13061" width="15.25" style="128" bestFit="1" customWidth="1"/>
    <col min="13062" max="13062" width="13.5" style="128" bestFit="1" customWidth="1"/>
    <col min="13063" max="13063" width="13.375" style="128" bestFit="1" customWidth="1"/>
    <col min="13064" max="13064" width="11.5" style="128" bestFit="1" customWidth="1"/>
    <col min="13065" max="13065" width="15.5" style="128" bestFit="1" customWidth="1"/>
    <col min="13066" max="13066" width="11.5" style="128" bestFit="1" customWidth="1"/>
    <col min="13067" max="13313" width="9" style="128"/>
    <col min="13314" max="13315" width="11.5" style="128" bestFit="1" customWidth="1"/>
    <col min="13316" max="13316" width="16" style="128" customWidth="1"/>
    <col min="13317" max="13317" width="15.25" style="128" bestFit="1" customWidth="1"/>
    <col min="13318" max="13318" width="13.5" style="128" bestFit="1" customWidth="1"/>
    <col min="13319" max="13319" width="13.375" style="128" bestFit="1" customWidth="1"/>
    <col min="13320" max="13320" width="11.5" style="128" bestFit="1" customWidth="1"/>
    <col min="13321" max="13321" width="15.5" style="128" bestFit="1" customWidth="1"/>
    <col min="13322" max="13322" width="11.5" style="128" bestFit="1" customWidth="1"/>
    <col min="13323" max="13569" width="9" style="128"/>
    <col min="13570" max="13571" width="11.5" style="128" bestFit="1" customWidth="1"/>
    <col min="13572" max="13572" width="16" style="128" customWidth="1"/>
    <col min="13573" max="13573" width="15.25" style="128" bestFit="1" customWidth="1"/>
    <col min="13574" max="13574" width="13.5" style="128" bestFit="1" customWidth="1"/>
    <col min="13575" max="13575" width="13.375" style="128" bestFit="1" customWidth="1"/>
    <col min="13576" max="13576" width="11.5" style="128" bestFit="1" customWidth="1"/>
    <col min="13577" max="13577" width="15.5" style="128" bestFit="1" customWidth="1"/>
    <col min="13578" max="13578" width="11.5" style="128" bestFit="1" customWidth="1"/>
    <col min="13579" max="13825" width="9" style="128"/>
    <col min="13826" max="13827" width="11.5" style="128" bestFit="1" customWidth="1"/>
    <col min="13828" max="13828" width="16" style="128" customWidth="1"/>
    <col min="13829" max="13829" width="15.25" style="128" bestFit="1" customWidth="1"/>
    <col min="13830" max="13830" width="13.5" style="128" bestFit="1" customWidth="1"/>
    <col min="13831" max="13831" width="13.375" style="128" bestFit="1" customWidth="1"/>
    <col min="13832" max="13832" width="11.5" style="128" bestFit="1" customWidth="1"/>
    <col min="13833" max="13833" width="15.5" style="128" bestFit="1" customWidth="1"/>
    <col min="13834" max="13834" width="11.5" style="128" bestFit="1" customWidth="1"/>
    <col min="13835" max="14081" width="9" style="128"/>
    <col min="14082" max="14083" width="11.5" style="128" bestFit="1" customWidth="1"/>
    <col min="14084" max="14084" width="16" style="128" customWidth="1"/>
    <col min="14085" max="14085" width="15.25" style="128" bestFit="1" customWidth="1"/>
    <col min="14086" max="14086" width="13.5" style="128" bestFit="1" customWidth="1"/>
    <col min="14087" max="14087" width="13.375" style="128" bestFit="1" customWidth="1"/>
    <col min="14088" max="14088" width="11.5" style="128" bestFit="1" customWidth="1"/>
    <col min="14089" max="14089" width="15.5" style="128" bestFit="1" customWidth="1"/>
    <col min="14090" max="14090" width="11.5" style="128" bestFit="1" customWidth="1"/>
    <col min="14091" max="14337" width="9" style="128"/>
    <col min="14338" max="14339" width="11.5" style="128" bestFit="1" customWidth="1"/>
    <col min="14340" max="14340" width="16" style="128" customWidth="1"/>
    <col min="14341" max="14341" width="15.25" style="128" bestFit="1" customWidth="1"/>
    <col min="14342" max="14342" width="13.5" style="128" bestFit="1" customWidth="1"/>
    <col min="14343" max="14343" width="13.375" style="128" bestFit="1" customWidth="1"/>
    <col min="14344" max="14344" width="11.5" style="128" bestFit="1" customWidth="1"/>
    <col min="14345" max="14345" width="15.5" style="128" bestFit="1" customWidth="1"/>
    <col min="14346" max="14346" width="11.5" style="128" bestFit="1" customWidth="1"/>
    <col min="14347" max="14593" width="9" style="128"/>
    <col min="14594" max="14595" width="11.5" style="128" bestFit="1" customWidth="1"/>
    <col min="14596" max="14596" width="16" style="128" customWidth="1"/>
    <col min="14597" max="14597" width="15.25" style="128" bestFit="1" customWidth="1"/>
    <col min="14598" max="14598" width="13.5" style="128" bestFit="1" customWidth="1"/>
    <col min="14599" max="14599" width="13.375" style="128" bestFit="1" customWidth="1"/>
    <col min="14600" max="14600" width="11.5" style="128" bestFit="1" customWidth="1"/>
    <col min="14601" max="14601" width="15.5" style="128" bestFit="1" customWidth="1"/>
    <col min="14602" max="14602" width="11.5" style="128" bestFit="1" customWidth="1"/>
    <col min="14603" max="14849" width="9" style="128"/>
    <col min="14850" max="14851" width="11.5" style="128" bestFit="1" customWidth="1"/>
    <col min="14852" max="14852" width="16" style="128" customWidth="1"/>
    <col min="14853" max="14853" width="15.25" style="128" bestFit="1" customWidth="1"/>
    <col min="14854" max="14854" width="13.5" style="128" bestFit="1" customWidth="1"/>
    <col min="14855" max="14855" width="13.375" style="128" bestFit="1" customWidth="1"/>
    <col min="14856" max="14856" width="11.5" style="128" bestFit="1" customWidth="1"/>
    <col min="14857" max="14857" width="15.5" style="128" bestFit="1" customWidth="1"/>
    <col min="14858" max="14858" width="11.5" style="128" bestFit="1" customWidth="1"/>
    <col min="14859" max="15105" width="9" style="128"/>
    <col min="15106" max="15107" width="11.5" style="128" bestFit="1" customWidth="1"/>
    <col min="15108" max="15108" width="16" style="128" customWidth="1"/>
    <col min="15109" max="15109" width="15.25" style="128" bestFit="1" customWidth="1"/>
    <col min="15110" max="15110" width="13.5" style="128" bestFit="1" customWidth="1"/>
    <col min="15111" max="15111" width="13.375" style="128" bestFit="1" customWidth="1"/>
    <col min="15112" max="15112" width="11.5" style="128" bestFit="1" customWidth="1"/>
    <col min="15113" max="15113" width="15.5" style="128" bestFit="1" customWidth="1"/>
    <col min="15114" max="15114" width="11.5" style="128" bestFit="1" customWidth="1"/>
    <col min="15115" max="15361" width="9" style="128"/>
    <col min="15362" max="15363" width="11.5" style="128" bestFit="1" customWidth="1"/>
    <col min="15364" max="15364" width="16" style="128" customWidth="1"/>
    <col min="15365" max="15365" width="15.25" style="128" bestFit="1" customWidth="1"/>
    <col min="15366" max="15366" width="13.5" style="128" bestFit="1" customWidth="1"/>
    <col min="15367" max="15367" width="13.375" style="128" bestFit="1" customWidth="1"/>
    <col min="15368" max="15368" width="11.5" style="128" bestFit="1" customWidth="1"/>
    <col min="15369" max="15369" width="15.5" style="128" bestFit="1" customWidth="1"/>
    <col min="15370" max="15370" width="11.5" style="128" bestFit="1" customWidth="1"/>
    <col min="15371" max="15617" width="9" style="128"/>
    <col min="15618" max="15619" width="11.5" style="128" bestFit="1" customWidth="1"/>
    <col min="15620" max="15620" width="16" style="128" customWidth="1"/>
    <col min="15621" max="15621" width="15.25" style="128" bestFit="1" customWidth="1"/>
    <col min="15622" max="15622" width="13.5" style="128" bestFit="1" customWidth="1"/>
    <col min="15623" max="15623" width="13.375" style="128" bestFit="1" customWidth="1"/>
    <col min="15624" max="15624" width="11.5" style="128" bestFit="1" customWidth="1"/>
    <col min="15625" max="15625" width="15.5" style="128" bestFit="1" customWidth="1"/>
    <col min="15626" max="15626" width="11.5" style="128" bestFit="1" customWidth="1"/>
    <col min="15627" max="15873" width="9" style="128"/>
    <col min="15874" max="15875" width="11.5" style="128" bestFit="1" customWidth="1"/>
    <col min="15876" max="15876" width="16" style="128" customWidth="1"/>
    <col min="15877" max="15877" width="15.25" style="128" bestFit="1" customWidth="1"/>
    <col min="15878" max="15878" width="13.5" style="128" bestFit="1" customWidth="1"/>
    <col min="15879" max="15879" width="13.375" style="128" bestFit="1" customWidth="1"/>
    <col min="15880" max="15880" width="11.5" style="128" bestFit="1" customWidth="1"/>
    <col min="15881" max="15881" width="15.5" style="128" bestFit="1" customWidth="1"/>
    <col min="15882" max="15882" width="11.5" style="128" bestFit="1" customWidth="1"/>
    <col min="15883" max="16129" width="9" style="128"/>
    <col min="16130" max="16131" width="11.5" style="128" bestFit="1" customWidth="1"/>
    <col min="16132" max="16132" width="16" style="128" customWidth="1"/>
    <col min="16133" max="16133" width="15.25" style="128" bestFit="1" customWidth="1"/>
    <col min="16134" max="16134" width="13.5" style="128" bestFit="1" customWidth="1"/>
    <col min="16135" max="16135" width="13.375" style="128" bestFit="1" customWidth="1"/>
    <col min="16136" max="16136" width="11.5" style="128" bestFit="1" customWidth="1"/>
    <col min="16137" max="16137" width="15.5" style="128" bestFit="1" customWidth="1"/>
    <col min="16138" max="16138" width="11.5" style="128" bestFit="1" customWidth="1"/>
    <col min="16139" max="16384" width="9" style="128"/>
  </cols>
  <sheetData>
    <row r="1" spans="1:11" ht="39.75" customHeight="1">
      <c r="A1" s="1234" t="s">
        <v>612</v>
      </c>
      <c r="B1" s="1234"/>
      <c r="C1" s="1234"/>
      <c r="D1" s="1234"/>
      <c r="E1" s="1234"/>
      <c r="F1" s="1235"/>
      <c r="G1" s="429" t="s">
        <v>34</v>
      </c>
      <c r="H1" s="583"/>
      <c r="I1" s="583"/>
      <c r="J1" s="583"/>
      <c r="K1" s="583"/>
    </row>
    <row r="2" spans="1:11" ht="39.75" customHeight="1">
      <c r="A2" s="1234"/>
      <c r="B2" s="1234"/>
      <c r="C2" s="1234"/>
      <c r="D2" s="1234"/>
      <c r="E2" s="1234"/>
      <c r="F2" s="1235"/>
      <c r="G2" s="558">
        <f>'자기평가서(2단계-종합기술제안서 정량평가)'!K4</f>
        <v>45972</v>
      </c>
      <c r="H2" s="583"/>
      <c r="I2" s="583"/>
      <c r="J2" s="583"/>
      <c r="K2" s="583"/>
    </row>
    <row r="3" spans="1:11" ht="62.25" customHeight="1">
      <c r="A3" s="1222" t="s">
        <v>590</v>
      </c>
      <c r="B3" s="1222"/>
      <c r="C3" s="1222"/>
      <c r="D3" s="1222"/>
      <c r="E3" s="1222"/>
      <c r="F3" s="1222"/>
      <c r="G3" s="1222"/>
      <c r="H3" s="584"/>
      <c r="I3" s="584"/>
      <c r="J3" s="584"/>
      <c r="K3" s="584"/>
    </row>
    <row r="4" spans="1:11">
      <c r="A4" s="1073" t="s">
        <v>73</v>
      </c>
      <c r="B4" s="1073"/>
      <c r="C4" s="1073"/>
      <c r="D4" s="1246" t="s">
        <v>25</v>
      </c>
      <c r="E4" s="1247" t="s">
        <v>281</v>
      </c>
      <c r="F4" s="1248" t="s">
        <v>77</v>
      </c>
      <c r="G4" s="1249"/>
    </row>
    <row r="5" spans="1:11">
      <c r="A5" s="1073"/>
      <c r="B5" s="1073"/>
      <c r="C5" s="1073"/>
      <c r="D5" s="1246"/>
      <c r="E5" s="1247"/>
      <c r="F5" s="1248"/>
      <c r="G5" s="1249"/>
    </row>
    <row r="6" spans="1:11" ht="20.25">
      <c r="A6" s="1061" t="str">
        <f>참여업체!C5</f>
        <v>A</v>
      </c>
      <c r="B6" s="1061"/>
      <c r="C6" s="1061"/>
      <c r="D6" s="426">
        <f>참여업체!C6</f>
        <v>0.57999999999999996</v>
      </c>
      <c r="E6" s="427">
        <f>E17*D6</f>
        <v>0.57999999999999996</v>
      </c>
      <c r="F6" s="1242">
        <f>E11</f>
        <v>1</v>
      </c>
      <c r="G6" s="428"/>
    </row>
    <row r="7" spans="1:11" ht="20.25">
      <c r="A7" s="1061" t="str">
        <f>참여업체!D5</f>
        <v>B</v>
      </c>
      <c r="B7" s="1061"/>
      <c r="C7" s="1061"/>
      <c r="D7" s="426">
        <f>참여업체!D6</f>
        <v>0.28000000000000003</v>
      </c>
      <c r="E7" s="427">
        <f>E23*D7</f>
        <v>0.28000000000000003</v>
      </c>
      <c r="F7" s="1243"/>
      <c r="G7" s="428"/>
    </row>
    <row r="8" spans="1:11" ht="20.25">
      <c r="A8" s="1061" t="str">
        <f>참여업체!E5</f>
        <v>C</v>
      </c>
      <c r="B8" s="1061"/>
      <c r="C8" s="1061"/>
      <c r="D8" s="426">
        <f>참여업체!E6</f>
        <v>0.14000000000000001</v>
      </c>
      <c r="E8" s="427">
        <f>E29*D8</f>
        <v>0.14000000000000001</v>
      </c>
      <c r="F8" s="1243"/>
      <c r="G8" s="428"/>
    </row>
    <row r="9" spans="1:11" ht="20.25" hidden="1">
      <c r="A9" s="1061">
        <f>참여업체!F5</f>
        <v>0</v>
      </c>
      <c r="B9" s="1061"/>
      <c r="C9" s="1061"/>
      <c r="D9" s="426">
        <f>참여업체!F6</f>
        <v>0</v>
      </c>
      <c r="E9" s="427">
        <f>E35*D9</f>
        <v>0</v>
      </c>
      <c r="F9" s="1243"/>
      <c r="G9" s="428"/>
    </row>
    <row r="10" spans="1:11" ht="20.25" hidden="1">
      <c r="A10" s="1061">
        <f>참여업체!G5</f>
        <v>0</v>
      </c>
      <c r="B10" s="1061"/>
      <c r="C10" s="1061"/>
      <c r="D10" s="426">
        <f>참여업체!G6</f>
        <v>0</v>
      </c>
      <c r="E10" s="427">
        <f>E41*D10</f>
        <v>0</v>
      </c>
      <c r="F10" s="1243"/>
      <c r="G10" s="428"/>
    </row>
    <row r="11" spans="1:11" ht="20.25">
      <c r="A11" s="1245" t="s">
        <v>80</v>
      </c>
      <c r="B11" s="1245"/>
      <c r="C11" s="1245"/>
      <c r="D11" s="1245"/>
      <c r="E11" s="430">
        <f>SUM(E6:E10)</f>
        <v>1</v>
      </c>
      <c r="F11" s="1244"/>
      <c r="G11" s="431"/>
    </row>
    <row r="12" spans="1:11" ht="32.25" thickBot="1">
      <c r="A12" s="218"/>
      <c r="B12" s="218"/>
      <c r="C12" s="218"/>
      <c r="D12" s="219"/>
      <c r="E12" s="220"/>
      <c r="F12" s="1081"/>
      <c r="G12" s="1081"/>
      <c r="H12" s="1081"/>
      <c r="I12" s="1081"/>
    </row>
    <row r="13" spans="1:11" ht="35.1" customHeight="1">
      <c r="A13" s="1240" t="str">
        <f>A6</f>
        <v>A</v>
      </c>
      <c r="B13" s="1241"/>
      <c r="C13" s="1241"/>
      <c r="D13" s="432">
        <f>D6</f>
        <v>0.57999999999999996</v>
      </c>
      <c r="E13" s="433" t="s">
        <v>282</v>
      </c>
      <c r="F13" s="434" t="s">
        <v>283</v>
      </c>
      <c r="G13" s="435" t="s">
        <v>284</v>
      </c>
      <c r="H13" s="234"/>
    </row>
    <row r="14" spans="1:11" ht="20.100000000000001" customHeight="1">
      <c r="A14" s="1236" t="s">
        <v>285</v>
      </c>
      <c r="B14" s="1237"/>
      <c r="C14" s="1237"/>
      <c r="D14" s="1237"/>
      <c r="E14" s="165">
        <v>27</v>
      </c>
      <c r="F14" s="436">
        <f>G2-365*1-30</f>
        <v>45577</v>
      </c>
      <c r="G14" s="437">
        <f>G2-30-1</f>
        <v>45941</v>
      </c>
      <c r="H14" s="234"/>
    </row>
    <row r="15" spans="1:11" ht="20.100000000000001" customHeight="1">
      <c r="A15" s="1236" t="s">
        <v>286</v>
      </c>
      <c r="B15" s="1237"/>
      <c r="C15" s="1237"/>
      <c r="D15" s="1237"/>
      <c r="E15" s="165">
        <v>709</v>
      </c>
      <c r="F15" s="436">
        <f>G2-365*2-30</f>
        <v>45212</v>
      </c>
      <c r="G15" s="437">
        <f>F14-1</f>
        <v>45576</v>
      </c>
    </row>
    <row r="16" spans="1:11" ht="20.100000000000001" customHeight="1">
      <c r="A16" s="1236" t="s">
        <v>281</v>
      </c>
      <c r="B16" s="1237"/>
      <c r="C16" s="1237"/>
      <c r="D16" s="1237"/>
      <c r="E16" s="438">
        <f>E14/E15</f>
        <v>3.8081805359661498E-2</v>
      </c>
      <c r="F16" s="439"/>
      <c r="G16" s="440"/>
    </row>
    <row r="17" spans="1:7" ht="20.100000000000001" customHeight="1" thickBot="1">
      <c r="A17" s="1238" t="s">
        <v>287</v>
      </c>
      <c r="B17" s="1239"/>
      <c r="C17" s="1239"/>
      <c r="D17" s="1239"/>
      <c r="E17" s="441">
        <f>IF(E16="","",IF(AND(E16&gt;0.03),1,IF(AND(E16&lt;0.03,E16&gt;=0.02),0.8,IF(AND(E16&lt;0.02,E16&gt;=0.01),0.6,0))))</f>
        <v>1</v>
      </c>
      <c r="F17" s="442"/>
      <c r="G17" s="443"/>
    </row>
    <row r="18" spans="1:7" ht="17.25" thickBot="1"/>
    <row r="19" spans="1:7" ht="35.1" customHeight="1">
      <c r="A19" s="1240" t="str">
        <f>A7</f>
        <v>B</v>
      </c>
      <c r="B19" s="1241"/>
      <c r="C19" s="1241"/>
      <c r="D19" s="432">
        <f>D7</f>
        <v>0.28000000000000003</v>
      </c>
      <c r="E19" s="433" t="s">
        <v>282</v>
      </c>
      <c r="F19" s="434" t="s">
        <v>137</v>
      </c>
      <c r="G19" s="435" t="s">
        <v>138</v>
      </c>
    </row>
    <row r="20" spans="1:7" ht="20.100000000000001" customHeight="1">
      <c r="A20" s="1236" t="s">
        <v>285</v>
      </c>
      <c r="B20" s="1237"/>
      <c r="C20" s="1237"/>
      <c r="D20" s="1237"/>
      <c r="E20" s="165">
        <v>38</v>
      </c>
      <c r="F20" s="436">
        <f>G2-365*1-30</f>
        <v>45577</v>
      </c>
      <c r="G20" s="437">
        <f>G2-30-1</f>
        <v>45941</v>
      </c>
    </row>
    <row r="21" spans="1:7" ht="20.100000000000001" customHeight="1">
      <c r="A21" s="1236" t="s">
        <v>286</v>
      </c>
      <c r="B21" s="1237"/>
      <c r="C21" s="1237"/>
      <c r="D21" s="1237"/>
      <c r="E21" s="165">
        <v>898</v>
      </c>
      <c r="F21" s="436">
        <f>G2-365*2-30</f>
        <v>45212</v>
      </c>
      <c r="G21" s="437">
        <f>F20-1</f>
        <v>45576</v>
      </c>
    </row>
    <row r="22" spans="1:7" ht="20.100000000000001" customHeight="1">
      <c r="A22" s="1236" t="s">
        <v>281</v>
      </c>
      <c r="B22" s="1237"/>
      <c r="C22" s="1237"/>
      <c r="D22" s="1237"/>
      <c r="E22" s="438">
        <f>E20/E21</f>
        <v>4.2316258351893093E-2</v>
      </c>
      <c r="F22" s="439"/>
      <c r="G22" s="440"/>
    </row>
    <row r="23" spans="1:7" ht="20.100000000000001" customHeight="1" thickBot="1">
      <c r="A23" s="1238" t="s">
        <v>287</v>
      </c>
      <c r="B23" s="1239"/>
      <c r="C23" s="1239"/>
      <c r="D23" s="1239"/>
      <c r="E23" s="441">
        <f>IF(E22="","",IF(AND(E22&gt;0.03),1,IF(AND(E22&lt;0.03,E22&gt;=0.02),0.8,IF(AND(E22&lt;0.02,E22&gt;=0.01),0.6,0))))</f>
        <v>1</v>
      </c>
      <c r="F23" s="442"/>
      <c r="G23" s="443"/>
    </row>
    <row r="24" spans="1:7" ht="17.25" thickBot="1"/>
    <row r="25" spans="1:7" ht="35.1" customHeight="1">
      <c r="A25" s="1240" t="str">
        <f>A8</f>
        <v>C</v>
      </c>
      <c r="B25" s="1241"/>
      <c r="C25" s="1241"/>
      <c r="D25" s="432">
        <f>D8</f>
        <v>0.14000000000000001</v>
      </c>
      <c r="E25" s="433" t="s">
        <v>282</v>
      </c>
      <c r="F25" s="434" t="s">
        <v>137</v>
      </c>
      <c r="G25" s="435" t="s">
        <v>138</v>
      </c>
    </row>
    <row r="26" spans="1:7" ht="20.100000000000001" customHeight="1">
      <c r="A26" s="1236" t="s">
        <v>285</v>
      </c>
      <c r="B26" s="1237"/>
      <c r="C26" s="1237"/>
      <c r="D26" s="1237"/>
      <c r="E26" s="165">
        <v>47</v>
      </c>
      <c r="F26" s="436">
        <f>G2-365*1-30</f>
        <v>45577</v>
      </c>
      <c r="G26" s="437">
        <f>G2-30-1</f>
        <v>45941</v>
      </c>
    </row>
    <row r="27" spans="1:7" ht="20.100000000000001" customHeight="1">
      <c r="A27" s="1236" t="s">
        <v>286</v>
      </c>
      <c r="B27" s="1237"/>
      <c r="C27" s="1237"/>
      <c r="D27" s="1237"/>
      <c r="E27" s="165">
        <v>1359</v>
      </c>
      <c r="F27" s="436">
        <f>G2-365*2-30</f>
        <v>45212</v>
      </c>
      <c r="G27" s="437">
        <f>F26-1</f>
        <v>45576</v>
      </c>
    </row>
    <row r="28" spans="1:7" ht="20.100000000000001" customHeight="1">
      <c r="A28" s="1236" t="s">
        <v>281</v>
      </c>
      <c r="B28" s="1237"/>
      <c r="C28" s="1237"/>
      <c r="D28" s="1237"/>
      <c r="E28" s="438">
        <f>E26/E27</f>
        <v>3.4584253127299486E-2</v>
      </c>
      <c r="F28" s="439"/>
      <c r="G28" s="440"/>
    </row>
    <row r="29" spans="1:7" ht="20.100000000000001" customHeight="1" thickBot="1">
      <c r="A29" s="1238" t="s">
        <v>287</v>
      </c>
      <c r="B29" s="1239"/>
      <c r="C29" s="1239"/>
      <c r="D29" s="1239"/>
      <c r="E29" s="441">
        <f>IF(E28="","",IF(AND(E28&gt;0.03),1,IF(AND(E28&lt;0.03,E28&gt;=0.02),0.8,IF(AND(E28&lt;0.02,E28&gt;=0.01),0.6,0))))</f>
        <v>1</v>
      </c>
      <c r="F29" s="442"/>
      <c r="G29" s="443"/>
    </row>
    <row r="30" spans="1:7" ht="17.25" thickBot="1"/>
    <row r="31" spans="1:7" ht="35.1" customHeight="1">
      <c r="A31" s="1240">
        <f>A9</f>
        <v>0</v>
      </c>
      <c r="B31" s="1241"/>
      <c r="C31" s="1241"/>
      <c r="D31" s="432">
        <f>D9</f>
        <v>0</v>
      </c>
      <c r="E31" s="433" t="s">
        <v>282</v>
      </c>
      <c r="F31" s="434" t="s">
        <v>137</v>
      </c>
      <c r="G31" s="435" t="s">
        <v>138</v>
      </c>
    </row>
    <row r="32" spans="1:7" ht="20.100000000000001" customHeight="1">
      <c r="A32" s="1236" t="s">
        <v>285</v>
      </c>
      <c r="B32" s="1237"/>
      <c r="C32" s="1237"/>
      <c r="D32" s="1237"/>
      <c r="E32" s="165">
        <v>0</v>
      </c>
      <c r="F32" s="436">
        <f>G2-365*1-30</f>
        <v>45577</v>
      </c>
      <c r="G32" s="437">
        <f>G2-30-1</f>
        <v>45941</v>
      </c>
    </row>
    <row r="33" spans="1:7" ht="20.100000000000001" customHeight="1">
      <c r="A33" s="1236" t="s">
        <v>286</v>
      </c>
      <c r="B33" s="1237"/>
      <c r="C33" s="1237"/>
      <c r="D33" s="1237"/>
      <c r="E33" s="165">
        <v>1</v>
      </c>
      <c r="F33" s="436">
        <f>G2-365*2-30</f>
        <v>45212</v>
      </c>
      <c r="G33" s="437">
        <f>F32-1</f>
        <v>45576</v>
      </c>
    </row>
    <row r="34" spans="1:7" ht="20.100000000000001" customHeight="1">
      <c r="A34" s="1236" t="s">
        <v>281</v>
      </c>
      <c r="B34" s="1237"/>
      <c r="C34" s="1237"/>
      <c r="D34" s="1237"/>
      <c r="E34" s="444">
        <f>E32/E33</f>
        <v>0</v>
      </c>
      <c r="F34" s="439"/>
      <c r="G34" s="440"/>
    </row>
    <row r="35" spans="1:7" ht="20.100000000000001" customHeight="1" thickBot="1">
      <c r="A35" s="1238" t="s">
        <v>287</v>
      </c>
      <c r="B35" s="1239"/>
      <c r="C35" s="1239"/>
      <c r="D35" s="1239"/>
      <c r="E35" s="441">
        <f>IF(E34="","",IF(AND(E34&lt;0.02,E34&gt;=0.01),1.2,IF(AND(E34&lt;0.03,E34&gt;=0.02),1.4,IF(AND(E34&lt;0.04,E34&gt;=0.03),1.6,IF(AND(E34&lt;0.05,E34&gt;=0.04),1.8,IF(E34&gt;=0.05,2,0))))))</f>
        <v>0</v>
      </c>
      <c r="F35" s="442"/>
      <c r="G35" s="443"/>
    </row>
    <row r="36" spans="1:7" ht="17.25" thickBot="1"/>
    <row r="37" spans="1:7" ht="30.75" customHeight="1">
      <c r="A37" s="1240">
        <f>참여업체!G5</f>
        <v>0</v>
      </c>
      <c r="B37" s="1241"/>
      <c r="C37" s="1241"/>
      <c r="D37" s="432">
        <f>D10</f>
        <v>0</v>
      </c>
      <c r="E37" s="433" t="s">
        <v>282</v>
      </c>
      <c r="F37" s="434" t="s">
        <v>137</v>
      </c>
      <c r="G37" s="435" t="s">
        <v>138</v>
      </c>
    </row>
    <row r="38" spans="1:7">
      <c r="A38" s="1236" t="s">
        <v>285</v>
      </c>
      <c r="B38" s="1237"/>
      <c r="C38" s="1237"/>
      <c r="D38" s="1237"/>
      <c r="E38" s="165">
        <v>0</v>
      </c>
      <c r="F38" s="436">
        <f>G2-365*1-30</f>
        <v>45577</v>
      </c>
      <c r="G38" s="437">
        <f>G2-30-1</f>
        <v>45941</v>
      </c>
    </row>
    <row r="39" spans="1:7">
      <c r="A39" s="1236" t="s">
        <v>286</v>
      </c>
      <c r="B39" s="1237"/>
      <c r="C39" s="1237"/>
      <c r="D39" s="1237"/>
      <c r="E39" s="165">
        <v>1</v>
      </c>
      <c r="F39" s="436">
        <f>G2-365*2-30</f>
        <v>45212</v>
      </c>
      <c r="G39" s="437">
        <f>F38-1</f>
        <v>45576</v>
      </c>
    </row>
    <row r="40" spans="1:7">
      <c r="A40" s="1236" t="s">
        <v>281</v>
      </c>
      <c r="B40" s="1237"/>
      <c r="C40" s="1237"/>
      <c r="D40" s="1237"/>
      <c r="E40" s="444">
        <f>E38/E39</f>
        <v>0</v>
      </c>
      <c r="F40" s="439"/>
      <c r="G40" s="440"/>
    </row>
    <row r="41" spans="1:7" ht="17.25" thickBot="1">
      <c r="A41" s="1238" t="s">
        <v>287</v>
      </c>
      <c r="B41" s="1239"/>
      <c r="C41" s="1239"/>
      <c r="D41" s="1239"/>
      <c r="E41" s="441">
        <f>IF(E40="","",IF(AND(E40&lt;0.02,E40&gt;=0.01),1.2,IF(AND(E40&lt;0.03,E40&gt;=0.02),1.4,IF(AND(E40&lt;0.04,E40&gt;=0.03),1.6,IF(AND(E40&lt;0.05,E40&gt;=0.04),1.8,IF(E40&gt;=0.05,2,0))))))</f>
        <v>0</v>
      </c>
      <c r="F41" s="442"/>
      <c r="G41" s="443"/>
    </row>
  </sheetData>
  <mergeCells count="40">
    <mergeCell ref="A37:C37"/>
    <mergeCell ref="A38:D38"/>
    <mergeCell ref="A39:D39"/>
    <mergeCell ref="A40:D40"/>
    <mergeCell ref="A41:D41"/>
    <mergeCell ref="A4:C5"/>
    <mergeCell ref="D4:D5"/>
    <mergeCell ref="E4:E5"/>
    <mergeCell ref="F4:F5"/>
    <mergeCell ref="G4:G5"/>
    <mergeCell ref="A22:D22"/>
    <mergeCell ref="A23:D23"/>
    <mergeCell ref="A6:C6"/>
    <mergeCell ref="F6:F11"/>
    <mergeCell ref="A7:C7"/>
    <mergeCell ref="A8:C8"/>
    <mergeCell ref="A9:C9"/>
    <mergeCell ref="A11:D11"/>
    <mergeCell ref="A10:C10"/>
    <mergeCell ref="A16:D16"/>
    <mergeCell ref="A17:D17"/>
    <mergeCell ref="A19:C19"/>
    <mergeCell ref="A20:D20"/>
    <mergeCell ref="A21:D21"/>
    <mergeCell ref="A3:G3"/>
    <mergeCell ref="A1:F2"/>
    <mergeCell ref="A33:D33"/>
    <mergeCell ref="A34:D34"/>
    <mergeCell ref="A35:D35"/>
    <mergeCell ref="A26:D26"/>
    <mergeCell ref="A27:D27"/>
    <mergeCell ref="A28:D28"/>
    <mergeCell ref="A29:D29"/>
    <mergeCell ref="A31:C31"/>
    <mergeCell ref="A32:D32"/>
    <mergeCell ref="A25:C25"/>
    <mergeCell ref="F12:I12"/>
    <mergeCell ref="A13:C13"/>
    <mergeCell ref="A14:D14"/>
    <mergeCell ref="A15:D15"/>
  </mergeCells>
  <phoneticPr fontId="2" type="noConversion"/>
  <pageMargins left="0.7" right="0.7" top="0.75" bottom="0.75" header="0.3" footer="0.3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U36"/>
  <sheetViews>
    <sheetView showGridLines="0" zoomScaleNormal="100" workbookViewId="0">
      <selection activeCell="A9" sqref="A9:I9"/>
    </sheetView>
  </sheetViews>
  <sheetFormatPr defaultRowHeight="13.5"/>
  <cols>
    <col min="1" max="1" width="13.875" style="18" customWidth="1"/>
    <col min="2" max="2" width="10.625" style="18" customWidth="1"/>
    <col min="3" max="3" width="12.5" style="18" customWidth="1"/>
    <col min="4" max="6" width="13.5" style="18" customWidth="1"/>
    <col min="7" max="7" width="11.875" style="18" customWidth="1"/>
    <col min="8" max="8" width="22.875" style="18" customWidth="1"/>
    <col min="9" max="14" width="9" style="18"/>
    <col min="15" max="15" width="21.25" style="18" customWidth="1"/>
    <col min="16" max="257" width="9" style="18"/>
    <col min="258" max="258" width="10.625" style="18" customWidth="1"/>
    <col min="259" max="259" width="12.5" style="18" customWidth="1"/>
    <col min="260" max="262" width="13.5" style="18" customWidth="1"/>
    <col min="263" max="263" width="11.875" style="18" customWidth="1"/>
    <col min="264" max="264" width="22.875" style="18" customWidth="1"/>
    <col min="265" max="513" width="9" style="18"/>
    <col min="514" max="514" width="10.625" style="18" customWidth="1"/>
    <col min="515" max="515" width="12.5" style="18" customWidth="1"/>
    <col min="516" max="518" width="13.5" style="18" customWidth="1"/>
    <col min="519" max="519" width="11.875" style="18" customWidth="1"/>
    <col min="520" max="520" width="22.875" style="18" customWidth="1"/>
    <col min="521" max="769" width="9" style="18"/>
    <col min="770" max="770" width="10.625" style="18" customWidth="1"/>
    <col min="771" max="771" width="12.5" style="18" customWidth="1"/>
    <col min="772" max="774" width="13.5" style="18" customWidth="1"/>
    <col min="775" max="775" width="11.875" style="18" customWidth="1"/>
    <col min="776" max="776" width="22.875" style="18" customWidth="1"/>
    <col min="777" max="1025" width="9" style="18"/>
    <col min="1026" max="1026" width="10.625" style="18" customWidth="1"/>
    <col min="1027" max="1027" width="12.5" style="18" customWidth="1"/>
    <col min="1028" max="1030" width="13.5" style="18" customWidth="1"/>
    <col min="1031" max="1031" width="11.875" style="18" customWidth="1"/>
    <col min="1032" max="1032" width="22.875" style="18" customWidth="1"/>
    <col min="1033" max="1281" width="9" style="18"/>
    <col min="1282" max="1282" width="10.625" style="18" customWidth="1"/>
    <col min="1283" max="1283" width="12.5" style="18" customWidth="1"/>
    <col min="1284" max="1286" width="13.5" style="18" customWidth="1"/>
    <col min="1287" max="1287" width="11.875" style="18" customWidth="1"/>
    <col min="1288" max="1288" width="22.875" style="18" customWidth="1"/>
    <col min="1289" max="1537" width="9" style="18"/>
    <col min="1538" max="1538" width="10.625" style="18" customWidth="1"/>
    <col min="1539" max="1539" width="12.5" style="18" customWidth="1"/>
    <col min="1540" max="1542" width="13.5" style="18" customWidth="1"/>
    <col min="1543" max="1543" width="11.875" style="18" customWidth="1"/>
    <col min="1544" max="1544" width="22.875" style="18" customWidth="1"/>
    <col min="1545" max="1793" width="9" style="18"/>
    <col min="1794" max="1794" width="10.625" style="18" customWidth="1"/>
    <col min="1795" max="1795" width="12.5" style="18" customWidth="1"/>
    <col min="1796" max="1798" width="13.5" style="18" customWidth="1"/>
    <col min="1799" max="1799" width="11.875" style="18" customWidth="1"/>
    <col min="1800" max="1800" width="22.875" style="18" customWidth="1"/>
    <col min="1801" max="2049" width="9" style="18"/>
    <col min="2050" max="2050" width="10.625" style="18" customWidth="1"/>
    <col min="2051" max="2051" width="12.5" style="18" customWidth="1"/>
    <col min="2052" max="2054" width="13.5" style="18" customWidth="1"/>
    <col min="2055" max="2055" width="11.875" style="18" customWidth="1"/>
    <col min="2056" max="2056" width="22.875" style="18" customWidth="1"/>
    <col min="2057" max="2305" width="9" style="18"/>
    <col min="2306" max="2306" width="10.625" style="18" customWidth="1"/>
    <col min="2307" max="2307" width="12.5" style="18" customWidth="1"/>
    <col min="2308" max="2310" width="13.5" style="18" customWidth="1"/>
    <col min="2311" max="2311" width="11.875" style="18" customWidth="1"/>
    <col min="2312" max="2312" width="22.875" style="18" customWidth="1"/>
    <col min="2313" max="2561" width="9" style="18"/>
    <col min="2562" max="2562" width="10.625" style="18" customWidth="1"/>
    <col min="2563" max="2563" width="12.5" style="18" customWidth="1"/>
    <col min="2564" max="2566" width="13.5" style="18" customWidth="1"/>
    <col min="2567" max="2567" width="11.875" style="18" customWidth="1"/>
    <col min="2568" max="2568" width="22.875" style="18" customWidth="1"/>
    <col min="2569" max="2817" width="9" style="18"/>
    <col min="2818" max="2818" width="10.625" style="18" customWidth="1"/>
    <col min="2819" max="2819" width="12.5" style="18" customWidth="1"/>
    <col min="2820" max="2822" width="13.5" style="18" customWidth="1"/>
    <col min="2823" max="2823" width="11.875" style="18" customWidth="1"/>
    <col min="2824" max="2824" width="22.875" style="18" customWidth="1"/>
    <col min="2825" max="3073" width="9" style="18"/>
    <col min="3074" max="3074" width="10.625" style="18" customWidth="1"/>
    <col min="3075" max="3075" width="12.5" style="18" customWidth="1"/>
    <col min="3076" max="3078" width="13.5" style="18" customWidth="1"/>
    <col min="3079" max="3079" width="11.875" style="18" customWidth="1"/>
    <col min="3080" max="3080" width="22.875" style="18" customWidth="1"/>
    <col min="3081" max="3329" width="9" style="18"/>
    <col min="3330" max="3330" width="10.625" style="18" customWidth="1"/>
    <col min="3331" max="3331" width="12.5" style="18" customWidth="1"/>
    <col min="3332" max="3334" width="13.5" style="18" customWidth="1"/>
    <col min="3335" max="3335" width="11.875" style="18" customWidth="1"/>
    <col min="3336" max="3336" width="22.875" style="18" customWidth="1"/>
    <col min="3337" max="3585" width="9" style="18"/>
    <col min="3586" max="3586" width="10.625" style="18" customWidth="1"/>
    <col min="3587" max="3587" width="12.5" style="18" customWidth="1"/>
    <col min="3588" max="3590" width="13.5" style="18" customWidth="1"/>
    <col min="3591" max="3591" width="11.875" style="18" customWidth="1"/>
    <col min="3592" max="3592" width="22.875" style="18" customWidth="1"/>
    <col min="3593" max="3841" width="9" style="18"/>
    <col min="3842" max="3842" width="10.625" style="18" customWidth="1"/>
    <col min="3843" max="3843" width="12.5" style="18" customWidth="1"/>
    <col min="3844" max="3846" width="13.5" style="18" customWidth="1"/>
    <col min="3847" max="3847" width="11.875" style="18" customWidth="1"/>
    <col min="3848" max="3848" width="22.875" style="18" customWidth="1"/>
    <col min="3849" max="4097" width="9" style="18"/>
    <col min="4098" max="4098" width="10.625" style="18" customWidth="1"/>
    <col min="4099" max="4099" width="12.5" style="18" customWidth="1"/>
    <col min="4100" max="4102" width="13.5" style="18" customWidth="1"/>
    <col min="4103" max="4103" width="11.875" style="18" customWidth="1"/>
    <col min="4104" max="4104" width="22.875" style="18" customWidth="1"/>
    <col min="4105" max="4353" width="9" style="18"/>
    <col min="4354" max="4354" width="10.625" style="18" customWidth="1"/>
    <col min="4355" max="4355" width="12.5" style="18" customWidth="1"/>
    <col min="4356" max="4358" width="13.5" style="18" customWidth="1"/>
    <col min="4359" max="4359" width="11.875" style="18" customWidth="1"/>
    <col min="4360" max="4360" width="22.875" style="18" customWidth="1"/>
    <col min="4361" max="4609" width="9" style="18"/>
    <col min="4610" max="4610" width="10.625" style="18" customWidth="1"/>
    <col min="4611" max="4611" width="12.5" style="18" customWidth="1"/>
    <col min="4612" max="4614" width="13.5" style="18" customWidth="1"/>
    <col min="4615" max="4615" width="11.875" style="18" customWidth="1"/>
    <col min="4616" max="4616" width="22.875" style="18" customWidth="1"/>
    <col min="4617" max="4865" width="9" style="18"/>
    <col min="4866" max="4866" width="10.625" style="18" customWidth="1"/>
    <col min="4867" max="4867" width="12.5" style="18" customWidth="1"/>
    <col min="4868" max="4870" width="13.5" style="18" customWidth="1"/>
    <col min="4871" max="4871" width="11.875" style="18" customWidth="1"/>
    <col min="4872" max="4872" width="22.875" style="18" customWidth="1"/>
    <col min="4873" max="5121" width="9" style="18"/>
    <col min="5122" max="5122" width="10.625" style="18" customWidth="1"/>
    <col min="5123" max="5123" width="12.5" style="18" customWidth="1"/>
    <col min="5124" max="5126" width="13.5" style="18" customWidth="1"/>
    <col min="5127" max="5127" width="11.875" style="18" customWidth="1"/>
    <col min="5128" max="5128" width="22.875" style="18" customWidth="1"/>
    <col min="5129" max="5377" width="9" style="18"/>
    <col min="5378" max="5378" width="10.625" style="18" customWidth="1"/>
    <col min="5379" max="5379" width="12.5" style="18" customWidth="1"/>
    <col min="5380" max="5382" width="13.5" style="18" customWidth="1"/>
    <col min="5383" max="5383" width="11.875" style="18" customWidth="1"/>
    <col min="5384" max="5384" width="22.875" style="18" customWidth="1"/>
    <col min="5385" max="5633" width="9" style="18"/>
    <col min="5634" max="5634" width="10.625" style="18" customWidth="1"/>
    <col min="5635" max="5635" width="12.5" style="18" customWidth="1"/>
    <col min="5636" max="5638" width="13.5" style="18" customWidth="1"/>
    <col min="5639" max="5639" width="11.875" style="18" customWidth="1"/>
    <col min="5640" max="5640" width="22.875" style="18" customWidth="1"/>
    <col min="5641" max="5889" width="9" style="18"/>
    <col min="5890" max="5890" width="10.625" style="18" customWidth="1"/>
    <col min="5891" max="5891" width="12.5" style="18" customWidth="1"/>
    <col min="5892" max="5894" width="13.5" style="18" customWidth="1"/>
    <col min="5895" max="5895" width="11.875" style="18" customWidth="1"/>
    <col min="5896" max="5896" width="22.875" style="18" customWidth="1"/>
    <col min="5897" max="6145" width="9" style="18"/>
    <col min="6146" max="6146" width="10.625" style="18" customWidth="1"/>
    <col min="6147" max="6147" width="12.5" style="18" customWidth="1"/>
    <col min="6148" max="6150" width="13.5" style="18" customWidth="1"/>
    <col min="6151" max="6151" width="11.875" style="18" customWidth="1"/>
    <col min="6152" max="6152" width="22.875" style="18" customWidth="1"/>
    <col min="6153" max="6401" width="9" style="18"/>
    <col min="6402" max="6402" width="10.625" style="18" customWidth="1"/>
    <col min="6403" max="6403" width="12.5" style="18" customWidth="1"/>
    <col min="6404" max="6406" width="13.5" style="18" customWidth="1"/>
    <col min="6407" max="6407" width="11.875" style="18" customWidth="1"/>
    <col min="6408" max="6408" width="22.875" style="18" customWidth="1"/>
    <col min="6409" max="6657" width="9" style="18"/>
    <col min="6658" max="6658" width="10.625" style="18" customWidth="1"/>
    <col min="6659" max="6659" width="12.5" style="18" customWidth="1"/>
    <col min="6660" max="6662" width="13.5" style="18" customWidth="1"/>
    <col min="6663" max="6663" width="11.875" style="18" customWidth="1"/>
    <col min="6664" max="6664" width="22.875" style="18" customWidth="1"/>
    <col min="6665" max="6913" width="9" style="18"/>
    <col min="6914" max="6914" width="10.625" style="18" customWidth="1"/>
    <col min="6915" max="6915" width="12.5" style="18" customWidth="1"/>
    <col min="6916" max="6918" width="13.5" style="18" customWidth="1"/>
    <col min="6919" max="6919" width="11.875" style="18" customWidth="1"/>
    <col min="6920" max="6920" width="22.875" style="18" customWidth="1"/>
    <col min="6921" max="7169" width="9" style="18"/>
    <col min="7170" max="7170" width="10.625" style="18" customWidth="1"/>
    <col min="7171" max="7171" width="12.5" style="18" customWidth="1"/>
    <col min="7172" max="7174" width="13.5" style="18" customWidth="1"/>
    <col min="7175" max="7175" width="11.875" style="18" customWidth="1"/>
    <col min="7176" max="7176" width="22.875" style="18" customWidth="1"/>
    <col min="7177" max="7425" width="9" style="18"/>
    <col min="7426" max="7426" width="10.625" style="18" customWidth="1"/>
    <col min="7427" max="7427" width="12.5" style="18" customWidth="1"/>
    <col min="7428" max="7430" width="13.5" style="18" customWidth="1"/>
    <col min="7431" max="7431" width="11.875" style="18" customWidth="1"/>
    <col min="7432" max="7432" width="22.875" style="18" customWidth="1"/>
    <col min="7433" max="7681" width="9" style="18"/>
    <col min="7682" max="7682" width="10.625" style="18" customWidth="1"/>
    <col min="7683" max="7683" width="12.5" style="18" customWidth="1"/>
    <col min="7684" max="7686" width="13.5" style="18" customWidth="1"/>
    <col min="7687" max="7687" width="11.875" style="18" customWidth="1"/>
    <col min="7688" max="7688" width="22.875" style="18" customWidth="1"/>
    <col min="7689" max="7937" width="9" style="18"/>
    <col min="7938" max="7938" width="10.625" style="18" customWidth="1"/>
    <col min="7939" max="7939" width="12.5" style="18" customWidth="1"/>
    <col min="7940" max="7942" width="13.5" style="18" customWidth="1"/>
    <col min="7943" max="7943" width="11.875" style="18" customWidth="1"/>
    <col min="7944" max="7944" width="22.875" style="18" customWidth="1"/>
    <col min="7945" max="8193" width="9" style="18"/>
    <col min="8194" max="8194" width="10.625" style="18" customWidth="1"/>
    <col min="8195" max="8195" width="12.5" style="18" customWidth="1"/>
    <col min="8196" max="8198" width="13.5" style="18" customWidth="1"/>
    <col min="8199" max="8199" width="11.875" style="18" customWidth="1"/>
    <col min="8200" max="8200" width="22.875" style="18" customWidth="1"/>
    <col min="8201" max="8449" width="9" style="18"/>
    <col min="8450" max="8450" width="10.625" style="18" customWidth="1"/>
    <col min="8451" max="8451" width="12.5" style="18" customWidth="1"/>
    <col min="8452" max="8454" width="13.5" style="18" customWidth="1"/>
    <col min="8455" max="8455" width="11.875" style="18" customWidth="1"/>
    <col min="8456" max="8456" width="22.875" style="18" customWidth="1"/>
    <col min="8457" max="8705" width="9" style="18"/>
    <col min="8706" max="8706" width="10.625" style="18" customWidth="1"/>
    <col min="8707" max="8707" width="12.5" style="18" customWidth="1"/>
    <col min="8708" max="8710" width="13.5" style="18" customWidth="1"/>
    <col min="8711" max="8711" width="11.875" style="18" customWidth="1"/>
    <col min="8712" max="8712" width="22.875" style="18" customWidth="1"/>
    <col min="8713" max="8961" width="9" style="18"/>
    <col min="8962" max="8962" width="10.625" style="18" customWidth="1"/>
    <col min="8963" max="8963" width="12.5" style="18" customWidth="1"/>
    <col min="8964" max="8966" width="13.5" style="18" customWidth="1"/>
    <col min="8967" max="8967" width="11.875" style="18" customWidth="1"/>
    <col min="8968" max="8968" width="22.875" style="18" customWidth="1"/>
    <col min="8969" max="9217" width="9" style="18"/>
    <col min="9218" max="9218" width="10.625" style="18" customWidth="1"/>
    <col min="9219" max="9219" width="12.5" style="18" customWidth="1"/>
    <col min="9220" max="9222" width="13.5" style="18" customWidth="1"/>
    <col min="9223" max="9223" width="11.875" style="18" customWidth="1"/>
    <col min="9224" max="9224" width="22.875" style="18" customWidth="1"/>
    <col min="9225" max="9473" width="9" style="18"/>
    <col min="9474" max="9474" width="10.625" style="18" customWidth="1"/>
    <col min="9475" max="9475" width="12.5" style="18" customWidth="1"/>
    <col min="9476" max="9478" width="13.5" style="18" customWidth="1"/>
    <col min="9479" max="9479" width="11.875" style="18" customWidth="1"/>
    <col min="9480" max="9480" width="22.875" style="18" customWidth="1"/>
    <col min="9481" max="9729" width="9" style="18"/>
    <col min="9730" max="9730" width="10.625" style="18" customWidth="1"/>
    <col min="9731" max="9731" width="12.5" style="18" customWidth="1"/>
    <col min="9732" max="9734" width="13.5" style="18" customWidth="1"/>
    <col min="9735" max="9735" width="11.875" style="18" customWidth="1"/>
    <col min="9736" max="9736" width="22.875" style="18" customWidth="1"/>
    <col min="9737" max="9985" width="9" style="18"/>
    <col min="9986" max="9986" width="10.625" style="18" customWidth="1"/>
    <col min="9987" max="9987" width="12.5" style="18" customWidth="1"/>
    <col min="9988" max="9990" width="13.5" style="18" customWidth="1"/>
    <col min="9991" max="9991" width="11.875" style="18" customWidth="1"/>
    <col min="9992" max="9992" width="22.875" style="18" customWidth="1"/>
    <col min="9993" max="10241" width="9" style="18"/>
    <col min="10242" max="10242" width="10.625" style="18" customWidth="1"/>
    <col min="10243" max="10243" width="12.5" style="18" customWidth="1"/>
    <col min="10244" max="10246" width="13.5" style="18" customWidth="1"/>
    <col min="10247" max="10247" width="11.875" style="18" customWidth="1"/>
    <col min="10248" max="10248" width="22.875" style="18" customWidth="1"/>
    <col min="10249" max="10497" width="9" style="18"/>
    <col min="10498" max="10498" width="10.625" style="18" customWidth="1"/>
    <col min="10499" max="10499" width="12.5" style="18" customWidth="1"/>
    <col min="10500" max="10502" width="13.5" style="18" customWidth="1"/>
    <col min="10503" max="10503" width="11.875" style="18" customWidth="1"/>
    <col min="10504" max="10504" width="22.875" style="18" customWidth="1"/>
    <col min="10505" max="10753" width="9" style="18"/>
    <col min="10754" max="10754" width="10.625" style="18" customWidth="1"/>
    <col min="10755" max="10755" width="12.5" style="18" customWidth="1"/>
    <col min="10756" max="10758" width="13.5" style="18" customWidth="1"/>
    <col min="10759" max="10759" width="11.875" style="18" customWidth="1"/>
    <col min="10760" max="10760" width="22.875" style="18" customWidth="1"/>
    <col min="10761" max="11009" width="9" style="18"/>
    <col min="11010" max="11010" width="10.625" style="18" customWidth="1"/>
    <col min="11011" max="11011" width="12.5" style="18" customWidth="1"/>
    <col min="11012" max="11014" width="13.5" style="18" customWidth="1"/>
    <col min="11015" max="11015" width="11.875" style="18" customWidth="1"/>
    <col min="11016" max="11016" width="22.875" style="18" customWidth="1"/>
    <col min="11017" max="11265" width="9" style="18"/>
    <col min="11266" max="11266" width="10.625" style="18" customWidth="1"/>
    <col min="11267" max="11267" width="12.5" style="18" customWidth="1"/>
    <col min="11268" max="11270" width="13.5" style="18" customWidth="1"/>
    <col min="11271" max="11271" width="11.875" style="18" customWidth="1"/>
    <col min="11272" max="11272" width="22.875" style="18" customWidth="1"/>
    <col min="11273" max="11521" width="9" style="18"/>
    <col min="11522" max="11522" width="10.625" style="18" customWidth="1"/>
    <col min="11523" max="11523" width="12.5" style="18" customWidth="1"/>
    <col min="11524" max="11526" width="13.5" style="18" customWidth="1"/>
    <col min="11527" max="11527" width="11.875" style="18" customWidth="1"/>
    <col min="11528" max="11528" width="22.875" style="18" customWidth="1"/>
    <col min="11529" max="11777" width="9" style="18"/>
    <col min="11778" max="11778" width="10.625" style="18" customWidth="1"/>
    <col min="11779" max="11779" width="12.5" style="18" customWidth="1"/>
    <col min="11780" max="11782" width="13.5" style="18" customWidth="1"/>
    <col min="11783" max="11783" width="11.875" style="18" customWidth="1"/>
    <col min="11784" max="11784" width="22.875" style="18" customWidth="1"/>
    <col min="11785" max="12033" width="9" style="18"/>
    <col min="12034" max="12034" width="10.625" style="18" customWidth="1"/>
    <col min="12035" max="12035" width="12.5" style="18" customWidth="1"/>
    <col min="12036" max="12038" width="13.5" style="18" customWidth="1"/>
    <col min="12039" max="12039" width="11.875" style="18" customWidth="1"/>
    <col min="12040" max="12040" width="22.875" style="18" customWidth="1"/>
    <col min="12041" max="12289" width="9" style="18"/>
    <col min="12290" max="12290" width="10.625" style="18" customWidth="1"/>
    <col min="12291" max="12291" width="12.5" style="18" customWidth="1"/>
    <col min="12292" max="12294" width="13.5" style="18" customWidth="1"/>
    <col min="12295" max="12295" width="11.875" style="18" customWidth="1"/>
    <col min="12296" max="12296" width="22.875" style="18" customWidth="1"/>
    <col min="12297" max="12545" width="9" style="18"/>
    <col min="12546" max="12546" width="10.625" style="18" customWidth="1"/>
    <col min="12547" max="12547" width="12.5" style="18" customWidth="1"/>
    <col min="12548" max="12550" width="13.5" style="18" customWidth="1"/>
    <col min="12551" max="12551" width="11.875" style="18" customWidth="1"/>
    <col min="12552" max="12552" width="22.875" style="18" customWidth="1"/>
    <col min="12553" max="12801" width="9" style="18"/>
    <col min="12802" max="12802" width="10.625" style="18" customWidth="1"/>
    <col min="12803" max="12803" width="12.5" style="18" customWidth="1"/>
    <col min="12804" max="12806" width="13.5" style="18" customWidth="1"/>
    <col min="12807" max="12807" width="11.875" style="18" customWidth="1"/>
    <col min="12808" max="12808" width="22.875" style="18" customWidth="1"/>
    <col min="12809" max="13057" width="9" style="18"/>
    <col min="13058" max="13058" width="10.625" style="18" customWidth="1"/>
    <col min="13059" max="13059" width="12.5" style="18" customWidth="1"/>
    <col min="13060" max="13062" width="13.5" style="18" customWidth="1"/>
    <col min="13063" max="13063" width="11.875" style="18" customWidth="1"/>
    <col min="13064" max="13064" width="22.875" style="18" customWidth="1"/>
    <col min="13065" max="13313" width="9" style="18"/>
    <col min="13314" max="13314" width="10.625" style="18" customWidth="1"/>
    <col min="13315" max="13315" width="12.5" style="18" customWidth="1"/>
    <col min="13316" max="13318" width="13.5" style="18" customWidth="1"/>
    <col min="13319" max="13319" width="11.875" style="18" customWidth="1"/>
    <col min="13320" max="13320" width="22.875" style="18" customWidth="1"/>
    <col min="13321" max="13569" width="9" style="18"/>
    <col min="13570" max="13570" width="10.625" style="18" customWidth="1"/>
    <col min="13571" max="13571" width="12.5" style="18" customWidth="1"/>
    <col min="13572" max="13574" width="13.5" style="18" customWidth="1"/>
    <col min="13575" max="13575" width="11.875" style="18" customWidth="1"/>
    <col min="13576" max="13576" width="22.875" style="18" customWidth="1"/>
    <col min="13577" max="13825" width="9" style="18"/>
    <col min="13826" max="13826" width="10.625" style="18" customWidth="1"/>
    <col min="13827" max="13827" width="12.5" style="18" customWidth="1"/>
    <col min="13828" max="13830" width="13.5" style="18" customWidth="1"/>
    <col min="13831" max="13831" width="11.875" style="18" customWidth="1"/>
    <col min="13832" max="13832" width="22.875" style="18" customWidth="1"/>
    <col min="13833" max="14081" width="9" style="18"/>
    <col min="14082" max="14082" width="10.625" style="18" customWidth="1"/>
    <col min="14083" max="14083" width="12.5" style="18" customWidth="1"/>
    <col min="14084" max="14086" width="13.5" style="18" customWidth="1"/>
    <col min="14087" max="14087" width="11.875" style="18" customWidth="1"/>
    <col min="14088" max="14088" width="22.875" style="18" customWidth="1"/>
    <col min="14089" max="14337" width="9" style="18"/>
    <col min="14338" max="14338" width="10.625" style="18" customWidth="1"/>
    <col min="14339" max="14339" width="12.5" style="18" customWidth="1"/>
    <col min="14340" max="14342" width="13.5" style="18" customWidth="1"/>
    <col min="14343" max="14343" width="11.875" style="18" customWidth="1"/>
    <col min="14344" max="14344" width="22.875" style="18" customWidth="1"/>
    <col min="14345" max="14593" width="9" style="18"/>
    <col min="14594" max="14594" width="10.625" style="18" customWidth="1"/>
    <col min="14595" max="14595" width="12.5" style="18" customWidth="1"/>
    <col min="14596" max="14598" width="13.5" style="18" customWidth="1"/>
    <col min="14599" max="14599" width="11.875" style="18" customWidth="1"/>
    <col min="14600" max="14600" width="22.875" style="18" customWidth="1"/>
    <col min="14601" max="14849" width="9" style="18"/>
    <col min="14850" max="14850" width="10.625" style="18" customWidth="1"/>
    <col min="14851" max="14851" width="12.5" style="18" customWidth="1"/>
    <col min="14852" max="14854" width="13.5" style="18" customWidth="1"/>
    <col min="14855" max="14855" width="11.875" style="18" customWidth="1"/>
    <col min="14856" max="14856" width="22.875" style="18" customWidth="1"/>
    <col min="14857" max="15105" width="9" style="18"/>
    <col min="15106" max="15106" width="10.625" style="18" customWidth="1"/>
    <col min="15107" max="15107" width="12.5" style="18" customWidth="1"/>
    <col min="15108" max="15110" width="13.5" style="18" customWidth="1"/>
    <col min="15111" max="15111" width="11.875" style="18" customWidth="1"/>
    <col min="15112" max="15112" width="22.875" style="18" customWidth="1"/>
    <col min="15113" max="15361" width="9" style="18"/>
    <col min="15362" max="15362" width="10.625" style="18" customWidth="1"/>
    <col min="15363" max="15363" width="12.5" style="18" customWidth="1"/>
    <col min="15364" max="15366" width="13.5" style="18" customWidth="1"/>
    <col min="15367" max="15367" width="11.875" style="18" customWidth="1"/>
    <col min="15368" max="15368" width="22.875" style="18" customWidth="1"/>
    <col min="15369" max="15617" width="9" style="18"/>
    <col min="15618" max="15618" width="10.625" style="18" customWidth="1"/>
    <col min="15619" max="15619" width="12.5" style="18" customWidth="1"/>
    <col min="15620" max="15622" width="13.5" style="18" customWidth="1"/>
    <col min="15623" max="15623" width="11.875" style="18" customWidth="1"/>
    <col min="15624" max="15624" width="22.875" style="18" customWidth="1"/>
    <col min="15625" max="15873" width="9" style="18"/>
    <col min="15874" max="15874" width="10.625" style="18" customWidth="1"/>
    <col min="15875" max="15875" width="12.5" style="18" customWidth="1"/>
    <col min="15876" max="15878" width="13.5" style="18" customWidth="1"/>
    <col min="15879" max="15879" width="11.875" style="18" customWidth="1"/>
    <col min="15880" max="15880" width="22.875" style="18" customWidth="1"/>
    <col min="15881" max="16129" width="9" style="18"/>
    <col min="16130" max="16130" width="10.625" style="18" customWidth="1"/>
    <col min="16131" max="16131" width="12.5" style="18" customWidth="1"/>
    <col min="16132" max="16134" width="13.5" style="18" customWidth="1"/>
    <col min="16135" max="16135" width="11.875" style="18" customWidth="1"/>
    <col min="16136" max="16136" width="22.875" style="18" customWidth="1"/>
    <col min="16137" max="16384" width="9" style="18"/>
  </cols>
  <sheetData>
    <row r="1" spans="1:21" s="1" customFormat="1" ht="48.75" customHeight="1">
      <c r="A1" s="736" t="s">
        <v>673</v>
      </c>
      <c r="B1" s="736"/>
      <c r="C1" s="736"/>
      <c r="D1" s="736"/>
      <c r="E1" s="736"/>
      <c r="F1" s="736"/>
      <c r="G1" s="736"/>
      <c r="H1" s="736"/>
      <c r="I1" s="561"/>
      <c r="J1" s="735" t="s">
        <v>464</v>
      </c>
      <c r="K1" s="735"/>
      <c r="L1" s="735"/>
      <c r="M1" s="735"/>
      <c r="N1" s="735"/>
      <c r="O1" s="735"/>
      <c r="P1" s="562"/>
      <c r="Q1" s="562"/>
      <c r="R1" s="562"/>
      <c r="S1" s="562"/>
      <c r="T1" s="562"/>
      <c r="U1" s="156"/>
    </row>
    <row r="2" spans="1:21" s="1" customFormat="1" ht="27.75" customHeight="1">
      <c r="A2" s="563" t="s">
        <v>309</v>
      </c>
      <c r="B2" s="734" t="s">
        <v>667</v>
      </c>
      <c r="C2" s="734"/>
      <c r="D2" s="734"/>
      <c r="E2" s="734"/>
      <c r="F2" s="734"/>
      <c r="G2" s="734"/>
      <c r="H2" s="734"/>
      <c r="I2" s="561"/>
      <c r="J2" s="564"/>
      <c r="K2" s="562"/>
      <c r="L2" s="562"/>
      <c r="M2" s="562"/>
      <c r="N2" s="562"/>
      <c r="O2" s="562"/>
      <c r="P2" s="562"/>
      <c r="Q2" s="562"/>
      <c r="R2" s="562"/>
      <c r="S2" s="562"/>
      <c r="T2" s="562"/>
      <c r="U2" s="156"/>
    </row>
    <row r="3" spans="1:21" s="1" customFormat="1" ht="27.75" customHeight="1">
      <c r="A3" s="565"/>
      <c r="B3" s="733" t="s">
        <v>668</v>
      </c>
      <c r="C3" s="733"/>
      <c r="D3" s="733"/>
      <c r="E3" s="733"/>
      <c r="F3" s="733"/>
      <c r="G3" s="733"/>
      <c r="H3" s="733"/>
      <c r="I3" s="561"/>
      <c r="J3" s="562"/>
      <c r="K3" s="562"/>
      <c r="L3" s="562"/>
      <c r="M3" s="562"/>
      <c r="N3" s="562"/>
      <c r="O3" s="562"/>
      <c r="P3" s="562"/>
      <c r="Q3" s="562"/>
      <c r="R3" s="562"/>
      <c r="S3" s="562"/>
      <c r="T3" s="562"/>
      <c r="U3" s="156"/>
    </row>
    <row r="4" spans="1:21" s="1" customFormat="1" ht="43.5" customHeight="1">
      <c r="A4" s="737" t="s">
        <v>674</v>
      </c>
      <c r="B4" s="737"/>
      <c r="C4" s="737"/>
      <c r="D4" s="737"/>
      <c r="E4" s="737"/>
      <c r="F4" s="737"/>
      <c r="G4" s="737"/>
      <c r="H4" s="737"/>
      <c r="I4" s="566"/>
      <c r="J4" s="562"/>
      <c r="K4" s="562"/>
      <c r="L4" s="562"/>
      <c r="M4" s="562"/>
      <c r="N4" s="562"/>
      <c r="O4" s="562"/>
      <c r="P4" s="562"/>
      <c r="Q4" s="562"/>
      <c r="R4" s="562"/>
      <c r="S4" s="562"/>
      <c r="T4" s="562"/>
      <c r="U4" s="156"/>
    </row>
    <row r="5" spans="1:21" s="4" customFormat="1" ht="27" customHeight="1">
      <c r="A5" s="567" t="s">
        <v>310</v>
      </c>
      <c r="B5" s="567"/>
      <c r="C5" s="567"/>
      <c r="D5" s="567"/>
      <c r="E5" s="567"/>
      <c r="F5" s="567"/>
      <c r="G5" s="567"/>
      <c r="H5" s="567"/>
      <c r="I5" s="567"/>
      <c r="J5" s="568"/>
      <c r="K5" s="568"/>
      <c r="L5" s="568"/>
      <c r="M5" s="568"/>
      <c r="N5" s="568"/>
      <c r="O5" s="568"/>
      <c r="P5" s="568"/>
      <c r="Q5" s="568"/>
      <c r="R5" s="568"/>
      <c r="S5" s="568"/>
      <c r="T5" s="568"/>
      <c r="U5" s="158"/>
    </row>
    <row r="6" spans="1:21" s="4" customFormat="1" ht="27" customHeight="1">
      <c r="A6" s="567"/>
      <c r="B6" s="567" t="s">
        <v>466</v>
      </c>
      <c r="C6" s="567"/>
      <c r="D6" s="566"/>
      <c r="E6" s="567"/>
      <c r="F6" s="567"/>
      <c r="G6" s="567"/>
      <c r="H6" s="567"/>
      <c r="I6" s="567"/>
      <c r="J6" s="568"/>
      <c r="K6" s="568"/>
      <c r="L6" s="568"/>
      <c r="M6" s="568"/>
      <c r="N6" s="568"/>
      <c r="O6" s="568"/>
      <c r="P6" s="568"/>
      <c r="Q6" s="568"/>
      <c r="R6" s="568"/>
      <c r="S6" s="568"/>
      <c r="T6" s="568"/>
      <c r="U6" s="158"/>
    </row>
    <row r="7" spans="1:21" s="4" customFormat="1" ht="27" customHeight="1">
      <c r="A7" s="569" t="s">
        <v>403</v>
      </c>
      <c r="B7" s="570"/>
      <c r="C7" s="570"/>
      <c r="D7" s="570"/>
      <c r="E7" s="570"/>
      <c r="F7" s="570"/>
      <c r="G7" s="570"/>
      <c r="H7" s="570"/>
      <c r="I7" s="571"/>
      <c r="J7" s="572"/>
      <c r="K7" s="568"/>
      <c r="L7" s="568"/>
      <c r="M7" s="568"/>
      <c r="N7" s="568"/>
      <c r="O7" s="568"/>
      <c r="P7" s="568"/>
      <c r="Q7" s="568"/>
      <c r="R7" s="568"/>
      <c r="S7" s="568"/>
      <c r="T7" s="568"/>
      <c r="U7" s="158"/>
    </row>
    <row r="8" spans="1:21" s="4" customFormat="1" ht="27" customHeight="1">
      <c r="A8" s="742" t="s">
        <v>0</v>
      </c>
      <c r="B8" s="742"/>
      <c r="C8" s="742"/>
      <c r="D8" s="742"/>
      <c r="E8" s="742"/>
      <c r="F8" s="742"/>
      <c r="G8" s="742"/>
      <c r="H8" s="742"/>
      <c r="I8" s="742"/>
      <c r="J8" s="568"/>
      <c r="K8" s="568"/>
      <c r="L8" s="568"/>
      <c r="M8" s="568"/>
      <c r="N8" s="568"/>
      <c r="O8" s="568"/>
      <c r="P8" s="568"/>
      <c r="Q8" s="568"/>
      <c r="R8" s="568"/>
      <c r="S8" s="568"/>
      <c r="T8" s="568"/>
      <c r="U8" s="158"/>
    </row>
    <row r="9" spans="1:21" s="720" customFormat="1" ht="27" customHeight="1">
      <c r="A9" s="738" t="s">
        <v>1</v>
      </c>
      <c r="B9" s="738"/>
      <c r="C9" s="738"/>
      <c r="D9" s="738"/>
      <c r="E9" s="738"/>
      <c r="F9" s="738"/>
      <c r="G9" s="738"/>
      <c r="H9" s="738"/>
      <c r="I9" s="738"/>
      <c r="J9" s="718"/>
      <c r="K9" s="718"/>
      <c r="L9" s="718"/>
      <c r="M9" s="718"/>
      <c r="N9" s="718"/>
      <c r="O9" s="718"/>
      <c r="P9" s="718"/>
      <c r="Q9" s="718"/>
      <c r="R9" s="718"/>
      <c r="S9" s="718"/>
      <c r="T9" s="718"/>
      <c r="U9" s="719"/>
    </row>
    <row r="10" spans="1:21" s="720" customFormat="1" ht="27" customHeight="1">
      <c r="A10" s="738" t="s">
        <v>378</v>
      </c>
      <c r="B10" s="738"/>
      <c r="C10" s="738"/>
      <c r="D10" s="738"/>
      <c r="E10" s="738"/>
      <c r="F10" s="738"/>
      <c r="G10" s="738"/>
      <c r="H10" s="738"/>
      <c r="I10" s="721"/>
      <c r="J10" s="718"/>
      <c r="K10" s="718"/>
      <c r="L10" s="718"/>
      <c r="M10" s="718"/>
      <c r="N10" s="718"/>
      <c r="O10" s="718"/>
      <c r="P10" s="718"/>
      <c r="Q10" s="718"/>
      <c r="R10" s="718"/>
      <c r="S10" s="718"/>
      <c r="T10" s="718"/>
      <c r="U10" s="719"/>
    </row>
    <row r="11" spans="1:21" s="4" customFormat="1" ht="27" customHeight="1">
      <c r="A11" s="741" t="s">
        <v>405</v>
      </c>
      <c r="B11" s="741"/>
      <c r="C11" s="741"/>
      <c r="D11" s="741"/>
      <c r="E11" s="741"/>
      <c r="F11" s="741"/>
      <c r="G11" s="741"/>
      <c r="H11" s="741"/>
      <c r="I11" s="741"/>
      <c r="J11" s="741"/>
      <c r="K11" s="568"/>
      <c r="L11" s="568"/>
      <c r="M11" s="568"/>
      <c r="N11" s="568"/>
      <c r="O11" s="568"/>
      <c r="P11" s="568"/>
      <c r="Q11" s="568"/>
      <c r="R11" s="568"/>
      <c r="S11" s="568"/>
      <c r="T11" s="568"/>
      <c r="U11" s="158"/>
    </row>
    <row r="12" spans="1:21" s="4" customFormat="1" ht="27" customHeight="1">
      <c r="A12" s="740" t="s">
        <v>666</v>
      </c>
      <c r="B12" s="740"/>
      <c r="C12" s="740"/>
      <c r="D12" s="740"/>
      <c r="E12" s="740"/>
      <c r="F12" s="740"/>
      <c r="G12" s="740"/>
      <c r="H12" s="740"/>
      <c r="I12" s="740"/>
      <c r="J12" s="740"/>
      <c r="K12" s="568"/>
      <c r="L12" s="568"/>
      <c r="M12" s="568"/>
      <c r="N12" s="568"/>
      <c r="O12" s="568"/>
      <c r="P12" s="568"/>
      <c r="Q12" s="568"/>
      <c r="R12" s="568"/>
      <c r="S12" s="568"/>
      <c r="T12" s="568"/>
      <c r="U12" s="158"/>
    </row>
    <row r="13" spans="1:21" s="5" customFormat="1" ht="26.25" customHeight="1">
      <c r="A13" s="739" t="s">
        <v>311</v>
      </c>
      <c r="B13" s="739"/>
      <c r="C13" s="739"/>
      <c r="D13" s="739"/>
      <c r="E13" s="739"/>
      <c r="F13" s="739"/>
      <c r="G13" s="739"/>
      <c r="H13" s="739"/>
      <c r="I13" s="739"/>
      <c r="J13" s="739"/>
      <c r="K13" s="739"/>
      <c r="L13" s="739"/>
      <c r="M13" s="739"/>
      <c r="N13" s="739"/>
      <c r="O13" s="573"/>
      <c r="P13" s="573"/>
      <c r="Q13" s="573"/>
      <c r="R13" s="573"/>
      <c r="S13" s="573"/>
      <c r="T13" s="573"/>
      <c r="U13" s="159"/>
    </row>
    <row r="14" spans="1:21" s="6" customFormat="1" ht="26.25" customHeight="1">
      <c r="A14" s="574" t="s">
        <v>306</v>
      </c>
      <c r="B14" s="575"/>
      <c r="C14" s="575"/>
      <c r="D14" s="575"/>
      <c r="E14" s="575"/>
      <c r="F14" s="575"/>
      <c r="G14" s="576"/>
      <c r="H14" s="576"/>
      <c r="I14" s="577"/>
      <c r="J14" s="573"/>
      <c r="K14" s="573"/>
      <c r="L14" s="573"/>
      <c r="M14" s="573"/>
      <c r="N14" s="573"/>
      <c r="O14" s="573"/>
      <c r="P14" s="573"/>
      <c r="Q14" s="573"/>
      <c r="R14" s="573"/>
      <c r="S14" s="573"/>
      <c r="T14" s="573"/>
      <c r="U14" s="159"/>
    </row>
    <row r="15" spans="1:21" s="6" customFormat="1" ht="26.25" customHeight="1">
      <c r="A15" s="578" t="s">
        <v>379</v>
      </c>
      <c r="B15" s="566"/>
      <c r="C15" s="566"/>
      <c r="D15" s="566"/>
      <c r="E15" s="566"/>
      <c r="F15" s="566"/>
      <c r="G15" s="577"/>
      <c r="H15" s="577"/>
      <c r="I15" s="577"/>
      <c r="J15" s="573"/>
      <c r="K15" s="573"/>
      <c r="L15" s="573"/>
      <c r="M15" s="573"/>
      <c r="N15" s="573"/>
      <c r="O15" s="573"/>
      <c r="P15" s="573"/>
      <c r="Q15" s="573"/>
      <c r="R15" s="573"/>
      <c r="S15" s="573"/>
      <c r="T15" s="573"/>
      <c r="U15" s="159"/>
    </row>
    <row r="16" spans="1:21" s="6" customFormat="1" ht="26.25" customHeight="1">
      <c r="A16" s="578" t="s">
        <v>402</v>
      </c>
      <c r="B16" s="566"/>
      <c r="C16" s="566"/>
      <c r="D16" s="566"/>
      <c r="E16" s="566"/>
      <c r="F16" s="566"/>
      <c r="G16" s="577"/>
      <c r="H16" s="577"/>
      <c r="I16" s="577"/>
      <c r="J16" s="573"/>
      <c r="K16" s="573"/>
      <c r="L16" s="573"/>
      <c r="M16" s="573"/>
      <c r="N16" s="573"/>
      <c r="O16" s="573"/>
      <c r="P16" s="573"/>
      <c r="Q16" s="573"/>
      <c r="R16" s="573"/>
      <c r="S16" s="573"/>
      <c r="T16" s="573"/>
      <c r="U16" s="159"/>
    </row>
    <row r="17" spans="1:10" s="6" customFormat="1" ht="26.25" customHeight="1">
      <c r="A17" s="19"/>
      <c r="B17" s="4"/>
      <c r="C17" s="4"/>
      <c r="D17" s="4"/>
      <c r="E17" s="4"/>
      <c r="F17" s="4"/>
      <c r="G17" s="5"/>
      <c r="H17" s="5"/>
      <c r="I17" s="5"/>
    </row>
    <row r="18" spans="1:10" s="6" customFormat="1" ht="26.25" customHeight="1">
      <c r="A18" s="3"/>
      <c r="B18" s="4"/>
      <c r="C18" s="4"/>
      <c r="D18" s="486"/>
      <c r="E18" s="486"/>
      <c r="F18" s="486"/>
      <c r="G18" s="487"/>
      <c r="H18" s="487"/>
      <c r="I18" s="487"/>
      <c r="J18" s="488"/>
    </row>
    <row r="19" spans="1:10" s="6" customFormat="1" ht="26.25" customHeight="1">
      <c r="A19" s="3"/>
      <c r="B19" s="4"/>
      <c r="C19" s="4"/>
      <c r="D19" s="486"/>
      <c r="E19" s="486"/>
      <c r="F19" s="486"/>
      <c r="G19" s="487"/>
      <c r="H19" s="487"/>
      <c r="I19" s="487"/>
      <c r="J19" s="488"/>
    </row>
    <row r="20" spans="1:10" s="6" customFormat="1" ht="26.25" customHeight="1">
      <c r="A20" s="3"/>
      <c r="B20" s="4"/>
      <c r="C20" s="4"/>
      <c r="D20" s="486"/>
      <c r="E20" s="486"/>
      <c r="F20" s="486"/>
      <c r="G20" s="487"/>
      <c r="H20" s="487"/>
      <c r="I20" s="487"/>
      <c r="J20" s="488"/>
    </row>
    <row r="21" spans="1:10" s="7" customFormat="1" ht="26.25" customHeight="1">
      <c r="A21" s="20"/>
      <c r="B21" s="21"/>
      <c r="C21" s="21"/>
      <c r="D21" s="489"/>
      <c r="E21" s="489"/>
      <c r="F21" s="489"/>
      <c r="G21" s="490"/>
      <c r="H21" s="490"/>
      <c r="I21" s="490"/>
      <c r="J21" s="491"/>
    </row>
    <row r="22" spans="1:10" s="7" customFormat="1" ht="26.25" customHeight="1">
      <c r="A22" s="20"/>
      <c r="B22" s="21"/>
      <c r="C22" s="21"/>
      <c r="D22" s="489"/>
      <c r="E22" s="489"/>
      <c r="F22" s="489"/>
      <c r="G22" s="490"/>
      <c r="H22" s="490"/>
      <c r="I22" s="490"/>
      <c r="J22" s="491"/>
    </row>
    <row r="23" spans="1:10" s="9" customFormat="1" ht="26.25" customHeight="1">
      <c r="A23" s="8"/>
      <c r="B23" s="8"/>
      <c r="C23" s="8"/>
      <c r="D23" s="492"/>
      <c r="E23" s="492"/>
      <c r="F23" s="492"/>
      <c r="G23" s="493"/>
      <c r="H23" s="493"/>
      <c r="I23" s="493"/>
      <c r="J23" s="494"/>
    </row>
    <row r="24" spans="1:10" s="11" customFormat="1" ht="26.25" customHeight="1">
      <c r="A24" s="8"/>
      <c r="B24" s="10"/>
      <c r="C24" s="10"/>
      <c r="D24" s="495"/>
      <c r="E24" s="495"/>
      <c r="F24" s="495"/>
      <c r="G24" s="494"/>
      <c r="H24" s="494"/>
      <c r="I24" s="494"/>
      <c r="J24" s="496"/>
    </row>
    <row r="25" spans="1:10" s="13" customFormat="1" ht="26.25" customHeight="1">
      <c r="A25" s="12" t="s">
        <v>2</v>
      </c>
      <c r="D25" s="497"/>
      <c r="E25" s="497"/>
      <c r="F25" s="497"/>
      <c r="G25" s="497"/>
      <c r="H25" s="497"/>
      <c r="I25" s="497"/>
      <c r="J25" s="497"/>
    </row>
    <row r="26" spans="1:10" s="16" customFormat="1" ht="26.25" customHeight="1">
      <c r="A26" s="14"/>
      <c r="B26" s="14"/>
      <c r="C26" s="14"/>
      <c r="D26" s="498"/>
      <c r="E26" s="498"/>
      <c r="F26" s="498"/>
      <c r="G26" s="499"/>
      <c r="H26" s="499"/>
      <c r="I26" s="499"/>
      <c r="J26" s="500"/>
    </row>
    <row r="27" spans="1:10" s="16" customFormat="1" ht="26.25" customHeight="1">
      <c r="A27" s="17"/>
      <c r="B27" s="15"/>
      <c r="C27" s="15"/>
      <c r="D27" s="499"/>
      <c r="E27" s="499"/>
      <c r="F27" s="499"/>
      <c r="G27" s="499"/>
      <c r="H27" s="499"/>
      <c r="I27" s="499"/>
      <c r="J27" s="500"/>
    </row>
    <row r="28" spans="1:10" ht="26.25" customHeight="1"/>
    <row r="29" spans="1:10" ht="26.25" customHeight="1">
      <c r="A29" s="3"/>
      <c r="B29" s="2"/>
      <c r="C29" s="2"/>
      <c r="D29" s="2"/>
      <c r="E29" s="2"/>
      <c r="F29" s="2"/>
      <c r="G29" s="2"/>
    </row>
    <row r="30" spans="1:10" ht="26.25" customHeight="1"/>
    <row r="31" spans="1:10" ht="26.25" customHeight="1"/>
    <row r="32" spans="1:10" ht="26.25" customHeight="1"/>
    <row r="33" ht="26.25" customHeight="1"/>
    <row r="34" ht="26.25" customHeight="1"/>
    <row r="35" ht="26.25" customHeight="1"/>
    <row r="36" ht="26.25" customHeight="1"/>
  </sheetData>
  <mergeCells count="11">
    <mergeCell ref="A8:I8"/>
    <mergeCell ref="A9:I9"/>
    <mergeCell ref="A10:H10"/>
    <mergeCell ref="A13:N13"/>
    <mergeCell ref="A12:J12"/>
    <mergeCell ref="A11:J11"/>
    <mergeCell ref="B3:H3"/>
    <mergeCell ref="B2:H2"/>
    <mergeCell ref="J1:O1"/>
    <mergeCell ref="A1:H1"/>
    <mergeCell ref="A4:H4"/>
  </mergeCells>
  <phoneticPr fontId="2" type="noConversion"/>
  <pageMargins left="0.66" right="0.34" top="0.72" bottom="0.19" header="0.5" footer="0.18"/>
  <pageSetup paperSize="9" scale="90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9"/>
  <sheetViews>
    <sheetView view="pageBreakPreview" zoomScale="85" zoomScaleNormal="85" zoomScaleSheetLayoutView="85" workbookViewId="0">
      <selection activeCell="P21" sqref="P21"/>
    </sheetView>
  </sheetViews>
  <sheetFormatPr defaultRowHeight="16.5"/>
  <cols>
    <col min="1" max="1" width="14.875" style="128" customWidth="1"/>
    <col min="2" max="2" width="25.75" style="128" customWidth="1"/>
    <col min="3" max="3" width="26.75" style="128" customWidth="1"/>
    <col min="4" max="4" width="16" style="128" customWidth="1"/>
    <col min="5" max="5" width="14.875" style="128" customWidth="1"/>
    <col min="6" max="7" width="17.25" style="128" customWidth="1"/>
    <col min="8" max="8" width="11.5" style="128" bestFit="1" customWidth="1"/>
    <col min="9" max="9" width="15.5" style="128" bestFit="1" customWidth="1"/>
    <col min="10" max="10" width="11.5" style="128" bestFit="1" customWidth="1"/>
    <col min="11" max="257" width="9" style="128"/>
    <col min="258" max="259" width="11.5" style="128" bestFit="1" customWidth="1"/>
    <col min="260" max="260" width="16" style="128" customWidth="1"/>
    <col min="261" max="261" width="15.25" style="128" bestFit="1" customWidth="1"/>
    <col min="262" max="262" width="13.5" style="128" bestFit="1" customWidth="1"/>
    <col min="263" max="263" width="13.375" style="128" bestFit="1" customWidth="1"/>
    <col min="264" max="264" width="11.5" style="128" bestFit="1" customWidth="1"/>
    <col min="265" max="265" width="15.5" style="128" bestFit="1" customWidth="1"/>
    <col min="266" max="266" width="11.5" style="128" bestFit="1" customWidth="1"/>
    <col min="267" max="513" width="9" style="128"/>
    <col min="514" max="515" width="11.5" style="128" bestFit="1" customWidth="1"/>
    <col min="516" max="516" width="16" style="128" customWidth="1"/>
    <col min="517" max="517" width="15.25" style="128" bestFit="1" customWidth="1"/>
    <col min="518" max="518" width="13.5" style="128" bestFit="1" customWidth="1"/>
    <col min="519" max="519" width="13.375" style="128" bestFit="1" customWidth="1"/>
    <col min="520" max="520" width="11.5" style="128" bestFit="1" customWidth="1"/>
    <col min="521" max="521" width="15.5" style="128" bestFit="1" customWidth="1"/>
    <col min="522" max="522" width="11.5" style="128" bestFit="1" customWidth="1"/>
    <col min="523" max="769" width="9" style="128"/>
    <col min="770" max="771" width="11.5" style="128" bestFit="1" customWidth="1"/>
    <col min="772" max="772" width="16" style="128" customWidth="1"/>
    <col min="773" max="773" width="15.25" style="128" bestFit="1" customWidth="1"/>
    <col min="774" max="774" width="13.5" style="128" bestFit="1" customWidth="1"/>
    <col min="775" max="775" width="13.375" style="128" bestFit="1" customWidth="1"/>
    <col min="776" max="776" width="11.5" style="128" bestFit="1" customWidth="1"/>
    <col min="777" max="777" width="15.5" style="128" bestFit="1" customWidth="1"/>
    <col min="778" max="778" width="11.5" style="128" bestFit="1" customWidth="1"/>
    <col min="779" max="1025" width="9" style="128"/>
    <col min="1026" max="1027" width="11.5" style="128" bestFit="1" customWidth="1"/>
    <col min="1028" max="1028" width="16" style="128" customWidth="1"/>
    <col min="1029" max="1029" width="15.25" style="128" bestFit="1" customWidth="1"/>
    <col min="1030" max="1030" width="13.5" style="128" bestFit="1" customWidth="1"/>
    <col min="1031" max="1031" width="13.375" style="128" bestFit="1" customWidth="1"/>
    <col min="1032" max="1032" width="11.5" style="128" bestFit="1" customWidth="1"/>
    <col min="1033" max="1033" width="15.5" style="128" bestFit="1" customWidth="1"/>
    <col min="1034" max="1034" width="11.5" style="128" bestFit="1" customWidth="1"/>
    <col min="1035" max="1281" width="9" style="128"/>
    <col min="1282" max="1283" width="11.5" style="128" bestFit="1" customWidth="1"/>
    <col min="1284" max="1284" width="16" style="128" customWidth="1"/>
    <col min="1285" max="1285" width="15.25" style="128" bestFit="1" customWidth="1"/>
    <col min="1286" max="1286" width="13.5" style="128" bestFit="1" customWidth="1"/>
    <col min="1287" max="1287" width="13.375" style="128" bestFit="1" customWidth="1"/>
    <col min="1288" max="1288" width="11.5" style="128" bestFit="1" customWidth="1"/>
    <col min="1289" max="1289" width="15.5" style="128" bestFit="1" customWidth="1"/>
    <col min="1290" max="1290" width="11.5" style="128" bestFit="1" customWidth="1"/>
    <col min="1291" max="1537" width="9" style="128"/>
    <col min="1538" max="1539" width="11.5" style="128" bestFit="1" customWidth="1"/>
    <col min="1540" max="1540" width="16" style="128" customWidth="1"/>
    <col min="1541" max="1541" width="15.25" style="128" bestFit="1" customWidth="1"/>
    <col min="1542" max="1542" width="13.5" style="128" bestFit="1" customWidth="1"/>
    <col min="1543" max="1543" width="13.375" style="128" bestFit="1" customWidth="1"/>
    <col min="1544" max="1544" width="11.5" style="128" bestFit="1" customWidth="1"/>
    <col min="1545" max="1545" width="15.5" style="128" bestFit="1" customWidth="1"/>
    <col min="1546" max="1546" width="11.5" style="128" bestFit="1" customWidth="1"/>
    <col min="1547" max="1793" width="9" style="128"/>
    <col min="1794" max="1795" width="11.5" style="128" bestFit="1" customWidth="1"/>
    <col min="1796" max="1796" width="16" style="128" customWidth="1"/>
    <col min="1797" max="1797" width="15.25" style="128" bestFit="1" customWidth="1"/>
    <col min="1798" max="1798" width="13.5" style="128" bestFit="1" customWidth="1"/>
    <col min="1799" max="1799" width="13.375" style="128" bestFit="1" customWidth="1"/>
    <col min="1800" max="1800" width="11.5" style="128" bestFit="1" customWidth="1"/>
    <col min="1801" max="1801" width="15.5" style="128" bestFit="1" customWidth="1"/>
    <col min="1802" max="1802" width="11.5" style="128" bestFit="1" customWidth="1"/>
    <col min="1803" max="2049" width="9" style="128"/>
    <col min="2050" max="2051" width="11.5" style="128" bestFit="1" customWidth="1"/>
    <col min="2052" max="2052" width="16" style="128" customWidth="1"/>
    <col min="2053" max="2053" width="15.25" style="128" bestFit="1" customWidth="1"/>
    <col min="2054" max="2054" width="13.5" style="128" bestFit="1" customWidth="1"/>
    <col min="2055" max="2055" width="13.375" style="128" bestFit="1" customWidth="1"/>
    <col min="2056" max="2056" width="11.5" style="128" bestFit="1" customWidth="1"/>
    <col min="2057" max="2057" width="15.5" style="128" bestFit="1" customWidth="1"/>
    <col min="2058" max="2058" width="11.5" style="128" bestFit="1" customWidth="1"/>
    <col min="2059" max="2305" width="9" style="128"/>
    <col min="2306" max="2307" width="11.5" style="128" bestFit="1" customWidth="1"/>
    <col min="2308" max="2308" width="16" style="128" customWidth="1"/>
    <col min="2309" max="2309" width="15.25" style="128" bestFit="1" customWidth="1"/>
    <col min="2310" max="2310" width="13.5" style="128" bestFit="1" customWidth="1"/>
    <col min="2311" max="2311" width="13.375" style="128" bestFit="1" customWidth="1"/>
    <col min="2312" max="2312" width="11.5" style="128" bestFit="1" customWidth="1"/>
    <col min="2313" max="2313" width="15.5" style="128" bestFit="1" customWidth="1"/>
    <col min="2314" max="2314" width="11.5" style="128" bestFit="1" customWidth="1"/>
    <col min="2315" max="2561" width="9" style="128"/>
    <col min="2562" max="2563" width="11.5" style="128" bestFit="1" customWidth="1"/>
    <col min="2564" max="2564" width="16" style="128" customWidth="1"/>
    <col min="2565" max="2565" width="15.25" style="128" bestFit="1" customWidth="1"/>
    <col min="2566" max="2566" width="13.5" style="128" bestFit="1" customWidth="1"/>
    <col min="2567" max="2567" width="13.375" style="128" bestFit="1" customWidth="1"/>
    <col min="2568" max="2568" width="11.5" style="128" bestFit="1" customWidth="1"/>
    <col min="2569" max="2569" width="15.5" style="128" bestFit="1" customWidth="1"/>
    <col min="2570" max="2570" width="11.5" style="128" bestFit="1" customWidth="1"/>
    <col min="2571" max="2817" width="9" style="128"/>
    <col min="2818" max="2819" width="11.5" style="128" bestFit="1" customWidth="1"/>
    <col min="2820" max="2820" width="16" style="128" customWidth="1"/>
    <col min="2821" max="2821" width="15.25" style="128" bestFit="1" customWidth="1"/>
    <col min="2822" max="2822" width="13.5" style="128" bestFit="1" customWidth="1"/>
    <col min="2823" max="2823" width="13.375" style="128" bestFit="1" customWidth="1"/>
    <col min="2824" max="2824" width="11.5" style="128" bestFit="1" customWidth="1"/>
    <col min="2825" max="2825" width="15.5" style="128" bestFit="1" customWidth="1"/>
    <col min="2826" max="2826" width="11.5" style="128" bestFit="1" customWidth="1"/>
    <col min="2827" max="3073" width="9" style="128"/>
    <col min="3074" max="3075" width="11.5" style="128" bestFit="1" customWidth="1"/>
    <col min="3076" max="3076" width="16" style="128" customWidth="1"/>
    <col min="3077" max="3077" width="15.25" style="128" bestFit="1" customWidth="1"/>
    <col min="3078" max="3078" width="13.5" style="128" bestFit="1" customWidth="1"/>
    <col min="3079" max="3079" width="13.375" style="128" bestFit="1" customWidth="1"/>
    <col min="3080" max="3080" width="11.5" style="128" bestFit="1" customWidth="1"/>
    <col min="3081" max="3081" width="15.5" style="128" bestFit="1" customWidth="1"/>
    <col min="3082" max="3082" width="11.5" style="128" bestFit="1" customWidth="1"/>
    <col min="3083" max="3329" width="9" style="128"/>
    <col min="3330" max="3331" width="11.5" style="128" bestFit="1" customWidth="1"/>
    <col min="3332" max="3332" width="16" style="128" customWidth="1"/>
    <col min="3333" max="3333" width="15.25" style="128" bestFit="1" customWidth="1"/>
    <col min="3334" max="3334" width="13.5" style="128" bestFit="1" customWidth="1"/>
    <col min="3335" max="3335" width="13.375" style="128" bestFit="1" customWidth="1"/>
    <col min="3336" max="3336" width="11.5" style="128" bestFit="1" customWidth="1"/>
    <col min="3337" max="3337" width="15.5" style="128" bestFit="1" customWidth="1"/>
    <col min="3338" max="3338" width="11.5" style="128" bestFit="1" customWidth="1"/>
    <col min="3339" max="3585" width="9" style="128"/>
    <col min="3586" max="3587" width="11.5" style="128" bestFit="1" customWidth="1"/>
    <col min="3588" max="3588" width="16" style="128" customWidth="1"/>
    <col min="3589" max="3589" width="15.25" style="128" bestFit="1" customWidth="1"/>
    <col min="3590" max="3590" width="13.5" style="128" bestFit="1" customWidth="1"/>
    <col min="3591" max="3591" width="13.375" style="128" bestFit="1" customWidth="1"/>
    <col min="3592" max="3592" width="11.5" style="128" bestFit="1" customWidth="1"/>
    <col min="3593" max="3593" width="15.5" style="128" bestFit="1" customWidth="1"/>
    <col min="3594" max="3594" width="11.5" style="128" bestFit="1" customWidth="1"/>
    <col min="3595" max="3841" width="9" style="128"/>
    <col min="3842" max="3843" width="11.5" style="128" bestFit="1" customWidth="1"/>
    <col min="3844" max="3844" width="16" style="128" customWidth="1"/>
    <col min="3845" max="3845" width="15.25" style="128" bestFit="1" customWidth="1"/>
    <col min="3846" max="3846" width="13.5" style="128" bestFit="1" customWidth="1"/>
    <col min="3847" max="3847" width="13.375" style="128" bestFit="1" customWidth="1"/>
    <col min="3848" max="3848" width="11.5" style="128" bestFit="1" customWidth="1"/>
    <col min="3849" max="3849" width="15.5" style="128" bestFit="1" customWidth="1"/>
    <col min="3850" max="3850" width="11.5" style="128" bestFit="1" customWidth="1"/>
    <col min="3851" max="4097" width="9" style="128"/>
    <col min="4098" max="4099" width="11.5" style="128" bestFit="1" customWidth="1"/>
    <col min="4100" max="4100" width="16" style="128" customWidth="1"/>
    <col min="4101" max="4101" width="15.25" style="128" bestFit="1" customWidth="1"/>
    <col min="4102" max="4102" width="13.5" style="128" bestFit="1" customWidth="1"/>
    <col min="4103" max="4103" width="13.375" style="128" bestFit="1" customWidth="1"/>
    <col min="4104" max="4104" width="11.5" style="128" bestFit="1" customWidth="1"/>
    <col min="4105" max="4105" width="15.5" style="128" bestFit="1" customWidth="1"/>
    <col min="4106" max="4106" width="11.5" style="128" bestFit="1" customWidth="1"/>
    <col min="4107" max="4353" width="9" style="128"/>
    <col min="4354" max="4355" width="11.5" style="128" bestFit="1" customWidth="1"/>
    <col min="4356" max="4356" width="16" style="128" customWidth="1"/>
    <col min="4357" max="4357" width="15.25" style="128" bestFit="1" customWidth="1"/>
    <col min="4358" max="4358" width="13.5" style="128" bestFit="1" customWidth="1"/>
    <col min="4359" max="4359" width="13.375" style="128" bestFit="1" customWidth="1"/>
    <col min="4360" max="4360" width="11.5" style="128" bestFit="1" customWidth="1"/>
    <col min="4361" max="4361" width="15.5" style="128" bestFit="1" customWidth="1"/>
    <col min="4362" max="4362" width="11.5" style="128" bestFit="1" customWidth="1"/>
    <col min="4363" max="4609" width="9" style="128"/>
    <col min="4610" max="4611" width="11.5" style="128" bestFit="1" customWidth="1"/>
    <col min="4612" max="4612" width="16" style="128" customWidth="1"/>
    <col min="4613" max="4613" width="15.25" style="128" bestFit="1" customWidth="1"/>
    <col min="4614" max="4614" width="13.5" style="128" bestFit="1" customWidth="1"/>
    <col min="4615" max="4615" width="13.375" style="128" bestFit="1" customWidth="1"/>
    <col min="4616" max="4616" width="11.5" style="128" bestFit="1" customWidth="1"/>
    <col min="4617" max="4617" width="15.5" style="128" bestFit="1" customWidth="1"/>
    <col min="4618" max="4618" width="11.5" style="128" bestFit="1" customWidth="1"/>
    <col min="4619" max="4865" width="9" style="128"/>
    <col min="4866" max="4867" width="11.5" style="128" bestFit="1" customWidth="1"/>
    <col min="4868" max="4868" width="16" style="128" customWidth="1"/>
    <col min="4869" max="4869" width="15.25" style="128" bestFit="1" customWidth="1"/>
    <col min="4870" max="4870" width="13.5" style="128" bestFit="1" customWidth="1"/>
    <col min="4871" max="4871" width="13.375" style="128" bestFit="1" customWidth="1"/>
    <col min="4872" max="4872" width="11.5" style="128" bestFit="1" customWidth="1"/>
    <col min="4873" max="4873" width="15.5" style="128" bestFit="1" customWidth="1"/>
    <col min="4874" max="4874" width="11.5" style="128" bestFit="1" customWidth="1"/>
    <col min="4875" max="5121" width="9" style="128"/>
    <col min="5122" max="5123" width="11.5" style="128" bestFit="1" customWidth="1"/>
    <col min="5124" max="5124" width="16" style="128" customWidth="1"/>
    <col min="5125" max="5125" width="15.25" style="128" bestFit="1" customWidth="1"/>
    <col min="5126" max="5126" width="13.5" style="128" bestFit="1" customWidth="1"/>
    <col min="5127" max="5127" width="13.375" style="128" bestFit="1" customWidth="1"/>
    <col min="5128" max="5128" width="11.5" style="128" bestFit="1" customWidth="1"/>
    <col min="5129" max="5129" width="15.5" style="128" bestFit="1" customWidth="1"/>
    <col min="5130" max="5130" width="11.5" style="128" bestFit="1" customWidth="1"/>
    <col min="5131" max="5377" width="9" style="128"/>
    <col min="5378" max="5379" width="11.5" style="128" bestFit="1" customWidth="1"/>
    <col min="5380" max="5380" width="16" style="128" customWidth="1"/>
    <col min="5381" max="5381" width="15.25" style="128" bestFit="1" customWidth="1"/>
    <col min="5382" max="5382" width="13.5" style="128" bestFit="1" customWidth="1"/>
    <col min="5383" max="5383" width="13.375" style="128" bestFit="1" customWidth="1"/>
    <col min="5384" max="5384" width="11.5" style="128" bestFit="1" customWidth="1"/>
    <col min="5385" max="5385" width="15.5" style="128" bestFit="1" customWidth="1"/>
    <col min="5386" max="5386" width="11.5" style="128" bestFit="1" customWidth="1"/>
    <col min="5387" max="5633" width="9" style="128"/>
    <col min="5634" max="5635" width="11.5" style="128" bestFit="1" customWidth="1"/>
    <col min="5636" max="5636" width="16" style="128" customWidth="1"/>
    <col min="5637" max="5637" width="15.25" style="128" bestFit="1" customWidth="1"/>
    <col min="5638" max="5638" width="13.5" style="128" bestFit="1" customWidth="1"/>
    <col min="5639" max="5639" width="13.375" style="128" bestFit="1" customWidth="1"/>
    <col min="5640" max="5640" width="11.5" style="128" bestFit="1" customWidth="1"/>
    <col min="5641" max="5641" width="15.5" style="128" bestFit="1" customWidth="1"/>
    <col min="5642" max="5642" width="11.5" style="128" bestFit="1" customWidth="1"/>
    <col min="5643" max="5889" width="9" style="128"/>
    <col min="5890" max="5891" width="11.5" style="128" bestFit="1" customWidth="1"/>
    <col min="5892" max="5892" width="16" style="128" customWidth="1"/>
    <col min="5893" max="5893" width="15.25" style="128" bestFit="1" customWidth="1"/>
    <col min="5894" max="5894" width="13.5" style="128" bestFit="1" customWidth="1"/>
    <col min="5895" max="5895" width="13.375" style="128" bestFit="1" customWidth="1"/>
    <col min="5896" max="5896" width="11.5" style="128" bestFit="1" customWidth="1"/>
    <col min="5897" max="5897" width="15.5" style="128" bestFit="1" customWidth="1"/>
    <col min="5898" max="5898" width="11.5" style="128" bestFit="1" customWidth="1"/>
    <col min="5899" max="6145" width="9" style="128"/>
    <col min="6146" max="6147" width="11.5" style="128" bestFit="1" customWidth="1"/>
    <col min="6148" max="6148" width="16" style="128" customWidth="1"/>
    <col min="6149" max="6149" width="15.25" style="128" bestFit="1" customWidth="1"/>
    <col min="6150" max="6150" width="13.5" style="128" bestFit="1" customWidth="1"/>
    <col min="6151" max="6151" width="13.375" style="128" bestFit="1" customWidth="1"/>
    <col min="6152" max="6152" width="11.5" style="128" bestFit="1" customWidth="1"/>
    <col min="6153" max="6153" width="15.5" style="128" bestFit="1" customWidth="1"/>
    <col min="6154" max="6154" width="11.5" style="128" bestFit="1" customWidth="1"/>
    <col min="6155" max="6401" width="9" style="128"/>
    <col min="6402" max="6403" width="11.5" style="128" bestFit="1" customWidth="1"/>
    <col min="6404" max="6404" width="16" style="128" customWidth="1"/>
    <col min="6405" max="6405" width="15.25" style="128" bestFit="1" customWidth="1"/>
    <col min="6406" max="6406" width="13.5" style="128" bestFit="1" customWidth="1"/>
    <col min="6407" max="6407" width="13.375" style="128" bestFit="1" customWidth="1"/>
    <col min="6408" max="6408" width="11.5" style="128" bestFit="1" customWidth="1"/>
    <col min="6409" max="6409" width="15.5" style="128" bestFit="1" customWidth="1"/>
    <col min="6410" max="6410" width="11.5" style="128" bestFit="1" customWidth="1"/>
    <col min="6411" max="6657" width="9" style="128"/>
    <col min="6658" max="6659" width="11.5" style="128" bestFit="1" customWidth="1"/>
    <col min="6660" max="6660" width="16" style="128" customWidth="1"/>
    <col min="6661" max="6661" width="15.25" style="128" bestFit="1" customWidth="1"/>
    <col min="6662" max="6662" width="13.5" style="128" bestFit="1" customWidth="1"/>
    <col min="6663" max="6663" width="13.375" style="128" bestFit="1" customWidth="1"/>
    <col min="6664" max="6664" width="11.5" style="128" bestFit="1" customWidth="1"/>
    <col min="6665" max="6665" width="15.5" style="128" bestFit="1" customWidth="1"/>
    <col min="6666" max="6666" width="11.5" style="128" bestFit="1" customWidth="1"/>
    <col min="6667" max="6913" width="9" style="128"/>
    <col min="6914" max="6915" width="11.5" style="128" bestFit="1" customWidth="1"/>
    <col min="6916" max="6916" width="16" style="128" customWidth="1"/>
    <col min="6917" max="6917" width="15.25" style="128" bestFit="1" customWidth="1"/>
    <col min="6918" max="6918" width="13.5" style="128" bestFit="1" customWidth="1"/>
    <col min="6919" max="6919" width="13.375" style="128" bestFit="1" customWidth="1"/>
    <col min="6920" max="6920" width="11.5" style="128" bestFit="1" customWidth="1"/>
    <col min="6921" max="6921" width="15.5" style="128" bestFit="1" customWidth="1"/>
    <col min="6922" max="6922" width="11.5" style="128" bestFit="1" customWidth="1"/>
    <col min="6923" max="7169" width="9" style="128"/>
    <col min="7170" max="7171" width="11.5" style="128" bestFit="1" customWidth="1"/>
    <col min="7172" max="7172" width="16" style="128" customWidth="1"/>
    <col min="7173" max="7173" width="15.25" style="128" bestFit="1" customWidth="1"/>
    <col min="7174" max="7174" width="13.5" style="128" bestFit="1" customWidth="1"/>
    <col min="7175" max="7175" width="13.375" style="128" bestFit="1" customWidth="1"/>
    <col min="7176" max="7176" width="11.5" style="128" bestFit="1" customWidth="1"/>
    <col min="7177" max="7177" width="15.5" style="128" bestFit="1" customWidth="1"/>
    <col min="7178" max="7178" width="11.5" style="128" bestFit="1" customWidth="1"/>
    <col min="7179" max="7425" width="9" style="128"/>
    <col min="7426" max="7427" width="11.5" style="128" bestFit="1" customWidth="1"/>
    <col min="7428" max="7428" width="16" style="128" customWidth="1"/>
    <col min="7429" max="7429" width="15.25" style="128" bestFit="1" customWidth="1"/>
    <col min="7430" max="7430" width="13.5" style="128" bestFit="1" customWidth="1"/>
    <col min="7431" max="7431" width="13.375" style="128" bestFit="1" customWidth="1"/>
    <col min="7432" max="7432" width="11.5" style="128" bestFit="1" customWidth="1"/>
    <col min="7433" max="7433" width="15.5" style="128" bestFit="1" customWidth="1"/>
    <col min="7434" max="7434" width="11.5" style="128" bestFit="1" customWidth="1"/>
    <col min="7435" max="7681" width="9" style="128"/>
    <col min="7682" max="7683" width="11.5" style="128" bestFit="1" customWidth="1"/>
    <col min="7684" max="7684" width="16" style="128" customWidth="1"/>
    <col min="7685" max="7685" width="15.25" style="128" bestFit="1" customWidth="1"/>
    <col min="7686" max="7686" width="13.5" style="128" bestFit="1" customWidth="1"/>
    <col min="7687" max="7687" width="13.375" style="128" bestFit="1" customWidth="1"/>
    <col min="7688" max="7688" width="11.5" style="128" bestFit="1" customWidth="1"/>
    <col min="7689" max="7689" width="15.5" style="128" bestFit="1" customWidth="1"/>
    <col min="7690" max="7690" width="11.5" style="128" bestFit="1" customWidth="1"/>
    <col min="7691" max="7937" width="9" style="128"/>
    <col min="7938" max="7939" width="11.5" style="128" bestFit="1" customWidth="1"/>
    <col min="7940" max="7940" width="16" style="128" customWidth="1"/>
    <col min="7941" max="7941" width="15.25" style="128" bestFit="1" customWidth="1"/>
    <col min="7942" max="7942" width="13.5" style="128" bestFit="1" customWidth="1"/>
    <col min="7943" max="7943" width="13.375" style="128" bestFit="1" customWidth="1"/>
    <col min="7944" max="7944" width="11.5" style="128" bestFit="1" customWidth="1"/>
    <col min="7945" max="7945" width="15.5" style="128" bestFit="1" customWidth="1"/>
    <col min="7946" max="7946" width="11.5" style="128" bestFit="1" customWidth="1"/>
    <col min="7947" max="8193" width="9" style="128"/>
    <col min="8194" max="8195" width="11.5" style="128" bestFit="1" customWidth="1"/>
    <col min="8196" max="8196" width="16" style="128" customWidth="1"/>
    <col min="8197" max="8197" width="15.25" style="128" bestFit="1" customWidth="1"/>
    <col min="8198" max="8198" width="13.5" style="128" bestFit="1" customWidth="1"/>
    <col min="8199" max="8199" width="13.375" style="128" bestFit="1" customWidth="1"/>
    <col min="8200" max="8200" width="11.5" style="128" bestFit="1" customWidth="1"/>
    <col min="8201" max="8201" width="15.5" style="128" bestFit="1" customWidth="1"/>
    <col min="8202" max="8202" width="11.5" style="128" bestFit="1" customWidth="1"/>
    <col min="8203" max="8449" width="9" style="128"/>
    <col min="8450" max="8451" width="11.5" style="128" bestFit="1" customWidth="1"/>
    <col min="8452" max="8452" width="16" style="128" customWidth="1"/>
    <col min="8453" max="8453" width="15.25" style="128" bestFit="1" customWidth="1"/>
    <col min="8454" max="8454" width="13.5" style="128" bestFit="1" customWidth="1"/>
    <col min="8455" max="8455" width="13.375" style="128" bestFit="1" customWidth="1"/>
    <col min="8456" max="8456" width="11.5" style="128" bestFit="1" customWidth="1"/>
    <col min="8457" max="8457" width="15.5" style="128" bestFit="1" customWidth="1"/>
    <col min="8458" max="8458" width="11.5" style="128" bestFit="1" customWidth="1"/>
    <col min="8459" max="8705" width="9" style="128"/>
    <col min="8706" max="8707" width="11.5" style="128" bestFit="1" customWidth="1"/>
    <col min="8708" max="8708" width="16" style="128" customWidth="1"/>
    <col min="8709" max="8709" width="15.25" style="128" bestFit="1" customWidth="1"/>
    <col min="8710" max="8710" width="13.5" style="128" bestFit="1" customWidth="1"/>
    <col min="8711" max="8711" width="13.375" style="128" bestFit="1" customWidth="1"/>
    <col min="8712" max="8712" width="11.5" style="128" bestFit="1" customWidth="1"/>
    <col min="8713" max="8713" width="15.5" style="128" bestFit="1" customWidth="1"/>
    <col min="8714" max="8714" width="11.5" style="128" bestFit="1" customWidth="1"/>
    <col min="8715" max="8961" width="9" style="128"/>
    <col min="8962" max="8963" width="11.5" style="128" bestFit="1" customWidth="1"/>
    <col min="8964" max="8964" width="16" style="128" customWidth="1"/>
    <col min="8965" max="8965" width="15.25" style="128" bestFit="1" customWidth="1"/>
    <col min="8966" max="8966" width="13.5" style="128" bestFit="1" customWidth="1"/>
    <col min="8967" max="8967" width="13.375" style="128" bestFit="1" customWidth="1"/>
    <col min="8968" max="8968" width="11.5" style="128" bestFit="1" customWidth="1"/>
    <col min="8969" max="8969" width="15.5" style="128" bestFit="1" customWidth="1"/>
    <col min="8970" max="8970" width="11.5" style="128" bestFit="1" customWidth="1"/>
    <col min="8971" max="9217" width="9" style="128"/>
    <col min="9218" max="9219" width="11.5" style="128" bestFit="1" customWidth="1"/>
    <col min="9220" max="9220" width="16" style="128" customWidth="1"/>
    <col min="9221" max="9221" width="15.25" style="128" bestFit="1" customWidth="1"/>
    <col min="9222" max="9222" width="13.5" style="128" bestFit="1" customWidth="1"/>
    <col min="9223" max="9223" width="13.375" style="128" bestFit="1" customWidth="1"/>
    <col min="9224" max="9224" width="11.5" style="128" bestFit="1" customWidth="1"/>
    <col min="9225" max="9225" width="15.5" style="128" bestFit="1" customWidth="1"/>
    <col min="9226" max="9226" width="11.5" style="128" bestFit="1" customWidth="1"/>
    <col min="9227" max="9473" width="9" style="128"/>
    <col min="9474" max="9475" width="11.5" style="128" bestFit="1" customWidth="1"/>
    <col min="9476" max="9476" width="16" style="128" customWidth="1"/>
    <col min="9477" max="9477" width="15.25" style="128" bestFit="1" customWidth="1"/>
    <col min="9478" max="9478" width="13.5" style="128" bestFit="1" customWidth="1"/>
    <col min="9479" max="9479" width="13.375" style="128" bestFit="1" customWidth="1"/>
    <col min="9480" max="9480" width="11.5" style="128" bestFit="1" customWidth="1"/>
    <col min="9481" max="9481" width="15.5" style="128" bestFit="1" customWidth="1"/>
    <col min="9482" max="9482" width="11.5" style="128" bestFit="1" customWidth="1"/>
    <col min="9483" max="9729" width="9" style="128"/>
    <col min="9730" max="9731" width="11.5" style="128" bestFit="1" customWidth="1"/>
    <col min="9732" max="9732" width="16" style="128" customWidth="1"/>
    <col min="9733" max="9733" width="15.25" style="128" bestFit="1" customWidth="1"/>
    <col min="9734" max="9734" width="13.5" style="128" bestFit="1" customWidth="1"/>
    <col min="9735" max="9735" width="13.375" style="128" bestFit="1" customWidth="1"/>
    <col min="9736" max="9736" width="11.5" style="128" bestFit="1" customWidth="1"/>
    <col min="9737" max="9737" width="15.5" style="128" bestFit="1" customWidth="1"/>
    <col min="9738" max="9738" width="11.5" style="128" bestFit="1" customWidth="1"/>
    <col min="9739" max="9985" width="9" style="128"/>
    <col min="9986" max="9987" width="11.5" style="128" bestFit="1" customWidth="1"/>
    <col min="9988" max="9988" width="16" style="128" customWidth="1"/>
    <col min="9989" max="9989" width="15.25" style="128" bestFit="1" customWidth="1"/>
    <col min="9990" max="9990" width="13.5" style="128" bestFit="1" customWidth="1"/>
    <col min="9991" max="9991" width="13.375" style="128" bestFit="1" customWidth="1"/>
    <col min="9992" max="9992" width="11.5" style="128" bestFit="1" customWidth="1"/>
    <col min="9993" max="9993" width="15.5" style="128" bestFit="1" customWidth="1"/>
    <col min="9994" max="9994" width="11.5" style="128" bestFit="1" customWidth="1"/>
    <col min="9995" max="10241" width="9" style="128"/>
    <col min="10242" max="10243" width="11.5" style="128" bestFit="1" customWidth="1"/>
    <col min="10244" max="10244" width="16" style="128" customWidth="1"/>
    <col min="10245" max="10245" width="15.25" style="128" bestFit="1" customWidth="1"/>
    <col min="10246" max="10246" width="13.5" style="128" bestFit="1" customWidth="1"/>
    <col min="10247" max="10247" width="13.375" style="128" bestFit="1" customWidth="1"/>
    <col min="10248" max="10248" width="11.5" style="128" bestFit="1" customWidth="1"/>
    <col min="10249" max="10249" width="15.5" style="128" bestFit="1" customWidth="1"/>
    <col min="10250" max="10250" width="11.5" style="128" bestFit="1" customWidth="1"/>
    <col min="10251" max="10497" width="9" style="128"/>
    <col min="10498" max="10499" width="11.5" style="128" bestFit="1" customWidth="1"/>
    <col min="10500" max="10500" width="16" style="128" customWidth="1"/>
    <col min="10501" max="10501" width="15.25" style="128" bestFit="1" customWidth="1"/>
    <col min="10502" max="10502" width="13.5" style="128" bestFit="1" customWidth="1"/>
    <col min="10503" max="10503" width="13.375" style="128" bestFit="1" customWidth="1"/>
    <col min="10504" max="10504" width="11.5" style="128" bestFit="1" customWidth="1"/>
    <col min="10505" max="10505" width="15.5" style="128" bestFit="1" customWidth="1"/>
    <col min="10506" max="10506" width="11.5" style="128" bestFit="1" customWidth="1"/>
    <col min="10507" max="10753" width="9" style="128"/>
    <col min="10754" max="10755" width="11.5" style="128" bestFit="1" customWidth="1"/>
    <col min="10756" max="10756" width="16" style="128" customWidth="1"/>
    <col min="10757" max="10757" width="15.25" style="128" bestFit="1" customWidth="1"/>
    <col min="10758" max="10758" width="13.5" style="128" bestFit="1" customWidth="1"/>
    <col min="10759" max="10759" width="13.375" style="128" bestFit="1" customWidth="1"/>
    <col min="10760" max="10760" width="11.5" style="128" bestFit="1" customWidth="1"/>
    <col min="10761" max="10761" width="15.5" style="128" bestFit="1" customWidth="1"/>
    <col min="10762" max="10762" width="11.5" style="128" bestFit="1" customWidth="1"/>
    <col min="10763" max="11009" width="9" style="128"/>
    <col min="11010" max="11011" width="11.5" style="128" bestFit="1" customWidth="1"/>
    <col min="11012" max="11012" width="16" style="128" customWidth="1"/>
    <col min="11013" max="11013" width="15.25" style="128" bestFit="1" customWidth="1"/>
    <col min="11014" max="11014" width="13.5" style="128" bestFit="1" customWidth="1"/>
    <col min="11015" max="11015" width="13.375" style="128" bestFit="1" customWidth="1"/>
    <col min="11016" max="11016" width="11.5" style="128" bestFit="1" customWidth="1"/>
    <col min="11017" max="11017" width="15.5" style="128" bestFit="1" customWidth="1"/>
    <col min="11018" max="11018" width="11.5" style="128" bestFit="1" customWidth="1"/>
    <col min="11019" max="11265" width="9" style="128"/>
    <col min="11266" max="11267" width="11.5" style="128" bestFit="1" customWidth="1"/>
    <col min="11268" max="11268" width="16" style="128" customWidth="1"/>
    <col min="11269" max="11269" width="15.25" style="128" bestFit="1" customWidth="1"/>
    <col min="11270" max="11270" width="13.5" style="128" bestFit="1" customWidth="1"/>
    <col min="11271" max="11271" width="13.375" style="128" bestFit="1" customWidth="1"/>
    <col min="11272" max="11272" width="11.5" style="128" bestFit="1" customWidth="1"/>
    <col min="11273" max="11273" width="15.5" style="128" bestFit="1" customWidth="1"/>
    <col min="11274" max="11274" width="11.5" style="128" bestFit="1" customWidth="1"/>
    <col min="11275" max="11521" width="9" style="128"/>
    <col min="11522" max="11523" width="11.5" style="128" bestFit="1" customWidth="1"/>
    <col min="11524" max="11524" width="16" style="128" customWidth="1"/>
    <col min="11525" max="11525" width="15.25" style="128" bestFit="1" customWidth="1"/>
    <col min="11526" max="11526" width="13.5" style="128" bestFit="1" customWidth="1"/>
    <col min="11527" max="11527" width="13.375" style="128" bestFit="1" customWidth="1"/>
    <col min="11528" max="11528" width="11.5" style="128" bestFit="1" customWidth="1"/>
    <col min="11529" max="11529" width="15.5" style="128" bestFit="1" customWidth="1"/>
    <col min="11530" max="11530" width="11.5" style="128" bestFit="1" customWidth="1"/>
    <col min="11531" max="11777" width="9" style="128"/>
    <col min="11778" max="11779" width="11.5" style="128" bestFit="1" customWidth="1"/>
    <col min="11780" max="11780" width="16" style="128" customWidth="1"/>
    <col min="11781" max="11781" width="15.25" style="128" bestFit="1" customWidth="1"/>
    <col min="11782" max="11782" width="13.5" style="128" bestFit="1" customWidth="1"/>
    <col min="11783" max="11783" width="13.375" style="128" bestFit="1" customWidth="1"/>
    <col min="11784" max="11784" width="11.5" style="128" bestFit="1" customWidth="1"/>
    <col min="11785" max="11785" width="15.5" style="128" bestFit="1" customWidth="1"/>
    <col min="11786" max="11786" width="11.5" style="128" bestFit="1" customWidth="1"/>
    <col min="11787" max="12033" width="9" style="128"/>
    <col min="12034" max="12035" width="11.5" style="128" bestFit="1" customWidth="1"/>
    <col min="12036" max="12036" width="16" style="128" customWidth="1"/>
    <col min="12037" max="12037" width="15.25" style="128" bestFit="1" customWidth="1"/>
    <col min="12038" max="12038" width="13.5" style="128" bestFit="1" customWidth="1"/>
    <col min="12039" max="12039" width="13.375" style="128" bestFit="1" customWidth="1"/>
    <col min="12040" max="12040" width="11.5" style="128" bestFit="1" customWidth="1"/>
    <col min="12041" max="12041" width="15.5" style="128" bestFit="1" customWidth="1"/>
    <col min="12042" max="12042" width="11.5" style="128" bestFit="1" customWidth="1"/>
    <col min="12043" max="12289" width="9" style="128"/>
    <col min="12290" max="12291" width="11.5" style="128" bestFit="1" customWidth="1"/>
    <col min="12292" max="12292" width="16" style="128" customWidth="1"/>
    <col min="12293" max="12293" width="15.25" style="128" bestFit="1" customWidth="1"/>
    <col min="12294" max="12294" width="13.5" style="128" bestFit="1" customWidth="1"/>
    <col min="12295" max="12295" width="13.375" style="128" bestFit="1" customWidth="1"/>
    <col min="12296" max="12296" width="11.5" style="128" bestFit="1" customWidth="1"/>
    <col min="12297" max="12297" width="15.5" style="128" bestFit="1" customWidth="1"/>
    <col min="12298" max="12298" width="11.5" style="128" bestFit="1" customWidth="1"/>
    <col min="12299" max="12545" width="9" style="128"/>
    <col min="12546" max="12547" width="11.5" style="128" bestFit="1" customWidth="1"/>
    <col min="12548" max="12548" width="16" style="128" customWidth="1"/>
    <col min="12549" max="12549" width="15.25" style="128" bestFit="1" customWidth="1"/>
    <col min="12550" max="12550" width="13.5" style="128" bestFit="1" customWidth="1"/>
    <col min="12551" max="12551" width="13.375" style="128" bestFit="1" customWidth="1"/>
    <col min="12552" max="12552" width="11.5" style="128" bestFit="1" customWidth="1"/>
    <col min="12553" max="12553" width="15.5" style="128" bestFit="1" customWidth="1"/>
    <col min="12554" max="12554" width="11.5" style="128" bestFit="1" customWidth="1"/>
    <col min="12555" max="12801" width="9" style="128"/>
    <col min="12802" max="12803" width="11.5" style="128" bestFit="1" customWidth="1"/>
    <col min="12804" max="12804" width="16" style="128" customWidth="1"/>
    <col min="12805" max="12805" width="15.25" style="128" bestFit="1" customWidth="1"/>
    <col min="12806" max="12806" width="13.5" style="128" bestFit="1" customWidth="1"/>
    <col min="12807" max="12807" width="13.375" style="128" bestFit="1" customWidth="1"/>
    <col min="12808" max="12808" width="11.5" style="128" bestFit="1" customWidth="1"/>
    <col min="12809" max="12809" width="15.5" style="128" bestFit="1" customWidth="1"/>
    <col min="12810" max="12810" width="11.5" style="128" bestFit="1" customWidth="1"/>
    <col min="12811" max="13057" width="9" style="128"/>
    <col min="13058" max="13059" width="11.5" style="128" bestFit="1" customWidth="1"/>
    <col min="13060" max="13060" width="16" style="128" customWidth="1"/>
    <col min="13061" max="13061" width="15.25" style="128" bestFit="1" customWidth="1"/>
    <col min="13062" max="13062" width="13.5" style="128" bestFit="1" customWidth="1"/>
    <col min="13063" max="13063" width="13.375" style="128" bestFit="1" customWidth="1"/>
    <col min="13064" max="13064" width="11.5" style="128" bestFit="1" customWidth="1"/>
    <col min="13065" max="13065" width="15.5" style="128" bestFit="1" customWidth="1"/>
    <col min="13066" max="13066" width="11.5" style="128" bestFit="1" customWidth="1"/>
    <col min="13067" max="13313" width="9" style="128"/>
    <col min="13314" max="13315" width="11.5" style="128" bestFit="1" customWidth="1"/>
    <col min="13316" max="13316" width="16" style="128" customWidth="1"/>
    <col min="13317" max="13317" width="15.25" style="128" bestFit="1" customWidth="1"/>
    <col min="13318" max="13318" width="13.5" style="128" bestFit="1" customWidth="1"/>
    <col min="13319" max="13319" width="13.375" style="128" bestFit="1" customWidth="1"/>
    <col min="13320" max="13320" width="11.5" style="128" bestFit="1" customWidth="1"/>
    <col min="13321" max="13321" width="15.5" style="128" bestFit="1" customWidth="1"/>
    <col min="13322" max="13322" width="11.5" style="128" bestFit="1" customWidth="1"/>
    <col min="13323" max="13569" width="9" style="128"/>
    <col min="13570" max="13571" width="11.5" style="128" bestFit="1" customWidth="1"/>
    <col min="13572" max="13572" width="16" style="128" customWidth="1"/>
    <col min="13573" max="13573" width="15.25" style="128" bestFit="1" customWidth="1"/>
    <col min="13574" max="13574" width="13.5" style="128" bestFit="1" customWidth="1"/>
    <col min="13575" max="13575" width="13.375" style="128" bestFit="1" customWidth="1"/>
    <col min="13576" max="13576" width="11.5" style="128" bestFit="1" customWidth="1"/>
    <col min="13577" max="13577" width="15.5" style="128" bestFit="1" customWidth="1"/>
    <col min="13578" max="13578" width="11.5" style="128" bestFit="1" customWidth="1"/>
    <col min="13579" max="13825" width="9" style="128"/>
    <col min="13826" max="13827" width="11.5" style="128" bestFit="1" customWidth="1"/>
    <col min="13828" max="13828" width="16" style="128" customWidth="1"/>
    <col min="13829" max="13829" width="15.25" style="128" bestFit="1" customWidth="1"/>
    <col min="13830" max="13830" width="13.5" style="128" bestFit="1" customWidth="1"/>
    <col min="13831" max="13831" width="13.375" style="128" bestFit="1" customWidth="1"/>
    <col min="13832" max="13832" width="11.5" style="128" bestFit="1" customWidth="1"/>
    <col min="13833" max="13833" width="15.5" style="128" bestFit="1" customWidth="1"/>
    <col min="13834" max="13834" width="11.5" style="128" bestFit="1" customWidth="1"/>
    <col min="13835" max="14081" width="9" style="128"/>
    <col min="14082" max="14083" width="11.5" style="128" bestFit="1" customWidth="1"/>
    <col min="14084" max="14084" width="16" style="128" customWidth="1"/>
    <col min="14085" max="14085" width="15.25" style="128" bestFit="1" customWidth="1"/>
    <col min="14086" max="14086" width="13.5" style="128" bestFit="1" customWidth="1"/>
    <col min="14087" max="14087" width="13.375" style="128" bestFit="1" customWidth="1"/>
    <col min="14088" max="14088" width="11.5" style="128" bestFit="1" customWidth="1"/>
    <col min="14089" max="14089" width="15.5" style="128" bestFit="1" customWidth="1"/>
    <col min="14090" max="14090" width="11.5" style="128" bestFit="1" customWidth="1"/>
    <col min="14091" max="14337" width="9" style="128"/>
    <col min="14338" max="14339" width="11.5" style="128" bestFit="1" customWidth="1"/>
    <col min="14340" max="14340" width="16" style="128" customWidth="1"/>
    <col min="14341" max="14341" width="15.25" style="128" bestFit="1" customWidth="1"/>
    <col min="14342" max="14342" width="13.5" style="128" bestFit="1" customWidth="1"/>
    <col min="14343" max="14343" width="13.375" style="128" bestFit="1" customWidth="1"/>
    <col min="14344" max="14344" width="11.5" style="128" bestFit="1" customWidth="1"/>
    <col min="14345" max="14345" width="15.5" style="128" bestFit="1" customWidth="1"/>
    <col min="14346" max="14346" width="11.5" style="128" bestFit="1" customWidth="1"/>
    <col min="14347" max="14593" width="9" style="128"/>
    <col min="14594" max="14595" width="11.5" style="128" bestFit="1" customWidth="1"/>
    <col min="14596" max="14596" width="16" style="128" customWidth="1"/>
    <col min="14597" max="14597" width="15.25" style="128" bestFit="1" customWidth="1"/>
    <col min="14598" max="14598" width="13.5" style="128" bestFit="1" customWidth="1"/>
    <col min="14599" max="14599" width="13.375" style="128" bestFit="1" customWidth="1"/>
    <col min="14600" max="14600" width="11.5" style="128" bestFit="1" customWidth="1"/>
    <col min="14601" max="14601" width="15.5" style="128" bestFit="1" customWidth="1"/>
    <col min="14602" max="14602" width="11.5" style="128" bestFit="1" customWidth="1"/>
    <col min="14603" max="14849" width="9" style="128"/>
    <col min="14850" max="14851" width="11.5" style="128" bestFit="1" customWidth="1"/>
    <col min="14852" max="14852" width="16" style="128" customWidth="1"/>
    <col min="14853" max="14853" width="15.25" style="128" bestFit="1" customWidth="1"/>
    <col min="14854" max="14854" width="13.5" style="128" bestFit="1" customWidth="1"/>
    <col min="14855" max="14855" width="13.375" style="128" bestFit="1" customWidth="1"/>
    <col min="14856" max="14856" width="11.5" style="128" bestFit="1" customWidth="1"/>
    <col min="14857" max="14857" width="15.5" style="128" bestFit="1" customWidth="1"/>
    <col min="14858" max="14858" width="11.5" style="128" bestFit="1" customWidth="1"/>
    <col min="14859" max="15105" width="9" style="128"/>
    <col min="15106" max="15107" width="11.5" style="128" bestFit="1" customWidth="1"/>
    <col min="15108" max="15108" width="16" style="128" customWidth="1"/>
    <col min="15109" max="15109" width="15.25" style="128" bestFit="1" customWidth="1"/>
    <col min="15110" max="15110" width="13.5" style="128" bestFit="1" customWidth="1"/>
    <col min="15111" max="15111" width="13.375" style="128" bestFit="1" customWidth="1"/>
    <col min="15112" max="15112" width="11.5" style="128" bestFit="1" customWidth="1"/>
    <col min="15113" max="15113" width="15.5" style="128" bestFit="1" customWidth="1"/>
    <col min="15114" max="15114" width="11.5" style="128" bestFit="1" customWidth="1"/>
    <col min="15115" max="15361" width="9" style="128"/>
    <col min="15362" max="15363" width="11.5" style="128" bestFit="1" customWidth="1"/>
    <col min="15364" max="15364" width="16" style="128" customWidth="1"/>
    <col min="15365" max="15365" width="15.25" style="128" bestFit="1" customWidth="1"/>
    <col min="15366" max="15366" width="13.5" style="128" bestFit="1" customWidth="1"/>
    <col min="15367" max="15367" width="13.375" style="128" bestFit="1" customWidth="1"/>
    <col min="15368" max="15368" width="11.5" style="128" bestFit="1" customWidth="1"/>
    <col min="15369" max="15369" width="15.5" style="128" bestFit="1" customWidth="1"/>
    <col min="15370" max="15370" width="11.5" style="128" bestFit="1" customWidth="1"/>
    <col min="15371" max="15617" width="9" style="128"/>
    <col min="15618" max="15619" width="11.5" style="128" bestFit="1" customWidth="1"/>
    <col min="15620" max="15620" width="16" style="128" customWidth="1"/>
    <col min="15621" max="15621" width="15.25" style="128" bestFit="1" customWidth="1"/>
    <col min="15622" max="15622" width="13.5" style="128" bestFit="1" customWidth="1"/>
    <col min="15623" max="15623" width="13.375" style="128" bestFit="1" customWidth="1"/>
    <col min="15624" max="15624" width="11.5" style="128" bestFit="1" customWidth="1"/>
    <col min="15625" max="15625" width="15.5" style="128" bestFit="1" customWidth="1"/>
    <col min="15626" max="15626" width="11.5" style="128" bestFit="1" customWidth="1"/>
    <col min="15627" max="15873" width="9" style="128"/>
    <col min="15874" max="15875" width="11.5" style="128" bestFit="1" customWidth="1"/>
    <col min="15876" max="15876" width="16" style="128" customWidth="1"/>
    <col min="15877" max="15877" width="15.25" style="128" bestFit="1" customWidth="1"/>
    <col min="15878" max="15878" width="13.5" style="128" bestFit="1" customWidth="1"/>
    <col min="15879" max="15879" width="13.375" style="128" bestFit="1" customWidth="1"/>
    <col min="15880" max="15880" width="11.5" style="128" bestFit="1" customWidth="1"/>
    <col min="15881" max="15881" width="15.5" style="128" bestFit="1" customWidth="1"/>
    <col min="15882" max="15882" width="11.5" style="128" bestFit="1" customWidth="1"/>
    <col min="15883" max="16129" width="9" style="128"/>
    <col min="16130" max="16131" width="11.5" style="128" bestFit="1" customWidth="1"/>
    <col min="16132" max="16132" width="16" style="128" customWidth="1"/>
    <col min="16133" max="16133" width="15.25" style="128" bestFit="1" customWidth="1"/>
    <col min="16134" max="16134" width="13.5" style="128" bestFit="1" customWidth="1"/>
    <col min="16135" max="16135" width="13.375" style="128" bestFit="1" customWidth="1"/>
    <col min="16136" max="16136" width="11.5" style="128" bestFit="1" customWidth="1"/>
    <col min="16137" max="16137" width="15.5" style="128" bestFit="1" customWidth="1"/>
    <col min="16138" max="16138" width="11.5" style="128" bestFit="1" customWidth="1"/>
    <col min="16139" max="16384" width="9" style="128"/>
  </cols>
  <sheetData>
    <row r="1" spans="1:11" ht="39.75" customHeight="1">
      <c r="A1" s="1234" t="s">
        <v>611</v>
      </c>
      <c r="B1" s="1234"/>
      <c r="C1" s="1234"/>
      <c r="D1" s="1234"/>
      <c r="E1" s="1234"/>
      <c r="F1" s="1235"/>
      <c r="G1" s="429" t="s">
        <v>34</v>
      </c>
      <c r="H1" s="583"/>
      <c r="I1" s="583"/>
      <c r="J1" s="583"/>
      <c r="K1" s="583"/>
    </row>
    <row r="2" spans="1:11" ht="39.75" customHeight="1">
      <c r="A2" s="1234"/>
      <c r="B2" s="1234"/>
      <c r="C2" s="1234"/>
      <c r="D2" s="1234"/>
      <c r="E2" s="1234"/>
      <c r="F2" s="1235"/>
      <c r="G2" s="636">
        <f>'자기평가서(2단계-종합기술제안서 정량평가)'!K4</f>
        <v>45972</v>
      </c>
      <c r="H2" s="583"/>
      <c r="I2" s="583"/>
      <c r="J2" s="583"/>
      <c r="K2" s="583"/>
    </row>
    <row r="3" spans="1:11" ht="62.25" customHeight="1">
      <c r="A3" s="1222" t="s">
        <v>591</v>
      </c>
      <c r="B3" s="1222"/>
      <c r="C3" s="1222"/>
      <c r="D3" s="1222"/>
      <c r="E3" s="1222"/>
      <c r="F3" s="1222"/>
      <c r="G3" s="1222"/>
      <c r="H3" s="584"/>
      <c r="I3" s="584"/>
      <c r="J3" s="584"/>
      <c r="K3" s="584"/>
    </row>
    <row r="4" spans="1:11">
      <c r="A4" s="1073" t="s">
        <v>73</v>
      </c>
      <c r="B4" s="1073"/>
      <c r="C4" s="1073"/>
      <c r="D4" s="1246" t="s">
        <v>25</v>
      </c>
      <c r="E4" s="1247" t="s">
        <v>592</v>
      </c>
      <c r="F4" s="1248" t="s">
        <v>77</v>
      </c>
      <c r="G4" s="1249"/>
    </row>
    <row r="5" spans="1:11">
      <c r="A5" s="1073"/>
      <c r="B5" s="1073"/>
      <c r="C5" s="1073"/>
      <c r="D5" s="1246"/>
      <c r="E5" s="1247"/>
      <c r="F5" s="1248"/>
      <c r="G5" s="1249"/>
    </row>
    <row r="6" spans="1:11" ht="20.25">
      <c r="A6" s="1061" t="str">
        <f>참여업체!C5</f>
        <v>A</v>
      </c>
      <c r="B6" s="1061"/>
      <c r="C6" s="1061"/>
      <c r="D6" s="426">
        <f>참여업체!C6</f>
        <v>0.57999999999999996</v>
      </c>
      <c r="E6" s="427">
        <f>E15*D6</f>
        <v>0.46399999999999997</v>
      </c>
      <c r="F6" s="1242">
        <f>E9</f>
        <v>0.79999999999999993</v>
      </c>
      <c r="G6" s="428"/>
    </row>
    <row r="7" spans="1:11" ht="20.25">
      <c r="A7" s="1061" t="str">
        <f>참여업체!D5</f>
        <v>B</v>
      </c>
      <c r="B7" s="1061"/>
      <c r="C7" s="1061"/>
      <c r="D7" s="426">
        <f>참여업체!D6</f>
        <v>0.28000000000000003</v>
      </c>
      <c r="E7" s="427">
        <f>E21*D7</f>
        <v>0.22400000000000003</v>
      </c>
      <c r="F7" s="1243"/>
      <c r="G7" s="428"/>
    </row>
    <row r="8" spans="1:11" ht="20.25">
      <c r="A8" s="1061" t="str">
        <f>참여업체!E5</f>
        <v>C</v>
      </c>
      <c r="B8" s="1061"/>
      <c r="C8" s="1061"/>
      <c r="D8" s="426">
        <f>참여업체!E6</f>
        <v>0.14000000000000001</v>
      </c>
      <c r="E8" s="427">
        <f>E27*D8</f>
        <v>0.11200000000000002</v>
      </c>
      <c r="F8" s="1243"/>
      <c r="G8" s="428"/>
    </row>
    <row r="9" spans="1:11" ht="20.25">
      <c r="A9" s="1245" t="s">
        <v>80</v>
      </c>
      <c r="B9" s="1245"/>
      <c r="C9" s="1245"/>
      <c r="D9" s="1245"/>
      <c r="E9" s="430">
        <f>SUM(E6:E8)</f>
        <v>0.79999999999999993</v>
      </c>
      <c r="F9" s="1244"/>
      <c r="G9" s="431"/>
    </row>
    <row r="10" spans="1:11" ht="32.25" thickBot="1">
      <c r="A10" s="218"/>
      <c r="B10" s="218"/>
      <c r="C10" s="218"/>
      <c r="D10" s="219"/>
      <c r="E10" s="220"/>
      <c r="F10" s="1081"/>
      <c r="G10" s="1081"/>
      <c r="H10" s="1081"/>
      <c r="I10" s="1081"/>
    </row>
    <row r="11" spans="1:11" ht="35.1" customHeight="1">
      <c r="A11" s="1240" t="str">
        <f>A6</f>
        <v>A</v>
      </c>
      <c r="B11" s="1241"/>
      <c r="C11" s="1241"/>
      <c r="D11" s="432">
        <f>D6</f>
        <v>0.57999999999999996</v>
      </c>
      <c r="E11" s="433" t="s">
        <v>596</v>
      </c>
      <c r="F11" s="434" t="s">
        <v>283</v>
      </c>
      <c r="G11" s="435" t="s">
        <v>284</v>
      </c>
      <c r="H11" s="234"/>
    </row>
    <row r="12" spans="1:11" ht="20.100000000000001" customHeight="1">
      <c r="A12" s="1236" t="s">
        <v>593</v>
      </c>
      <c r="B12" s="1237"/>
      <c r="C12" s="1237"/>
      <c r="D12" s="1237"/>
      <c r="E12" s="165">
        <v>27</v>
      </c>
      <c r="F12" s="436">
        <f>G2-365*1-30</f>
        <v>45577</v>
      </c>
      <c r="G12" s="437">
        <f>G2-30-1</f>
        <v>45941</v>
      </c>
      <c r="H12" s="234"/>
    </row>
    <row r="13" spans="1:11" ht="20.100000000000001" customHeight="1">
      <c r="A13" s="1236" t="s">
        <v>594</v>
      </c>
      <c r="B13" s="1237"/>
      <c r="C13" s="1237"/>
      <c r="D13" s="1237"/>
      <c r="E13" s="165">
        <v>709</v>
      </c>
      <c r="F13" s="436">
        <f>G2-365*2-30</f>
        <v>45212</v>
      </c>
      <c r="G13" s="437">
        <f>F12-1</f>
        <v>45576</v>
      </c>
    </row>
    <row r="14" spans="1:11" ht="20.100000000000001" customHeight="1">
      <c r="A14" s="1236" t="s">
        <v>595</v>
      </c>
      <c r="B14" s="1237"/>
      <c r="C14" s="1237"/>
      <c r="D14" s="1237"/>
      <c r="E14" s="438">
        <f>E12/E13</f>
        <v>3.8081805359661498E-2</v>
      </c>
      <c r="F14" s="439"/>
      <c r="G14" s="440"/>
    </row>
    <row r="15" spans="1:11" ht="20.100000000000001" customHeight="1" thickBot="1">
      <c r="A15" s="1238" t="s">
        <v>287</v>
      </c>
      <c r="B15" s="1239"/>
      <c r="C15" s="1239"/>
      <c r="D15" s="1239"/>
      <c r="E15" s="441">
        <f>IF(E14="","",IF(AND(E14&gt;0.05),1,IF(AND(E14&lt;0.05,E14&gt;=0.03),0.8,IF(AND(E14&lt;0.03,E14&gt;=0.01),0.6,0))))</f>
        <v>0.8</v>
      </c>
      <c r="F15" s="442"/>
      <c r="G15" s="443"/>
    </row>
    <row r="16" spans="1:11" ht="17.25" thickBot="1"/>
    <row r="17" spans="1:7" ht="35.1" customHeight="1">
      <c r="A17" s="1240" t="str">
        <f>A7</f>
        <v>B</v>
      </c>
      <c r="B17" s="1241"/>
      <c r="C17" s="1241"/>
      <c r="D17" s="432">
        <f>D7</f>
        <v>0.28000000000000003</v>
      </c>
      <c r="E17" s="433" t="s">
        <v>596</v>
      </c>
      <c r="F17" s="434" t="s">
        <v>137</v>
      </c>
      <c r="G17" s="435" t="s">
        <v>138</v>
      </c>
    </row>
    <row r="18" spans="1:7" ht="20.100000000000001" customHeight="1">
      <c r="A18" s="1236" t="s">
        <v>593</v>
      </c>
      <c r="B18" s="1237"/>
      <c r="C18" s="1237"/>
      <c r="D18" s="1237"/>
      <c r="E18" s="165">
        <v>38</v>
      </c>
      <c r="F18" s="436">
        <f>G2-365*1-30</f>
        <v>45577</v>
      </c>
      <c r="G18" s="437">
        <f>G2-30-1</f>
        <v>45941</v>
      </c>
    </row>
    <row r="19" spans="1:7" ht="20.100000000000001" customHeight="1">
      <c r="A19" s="1236" t="s">
        <v>594</v>
      </c>
      <c r="B19" s="1237"/>
      <c r="C19" s="1237"/>
      <c r="D19" s="1237"/>
      <c r="E19" s="165">
        <v>898</v>
      </c>
      <c r="F19" s="436">
        <f>G2-365*2-30</f>
        <v>45212</v>
      </c>
      <c r="G19" s="437">
        <f>F18-1</f>
        <v>45576</v>
      </c>
    </row>
    <row r="20" spans="1:7" ht="20.100000000000001" customHeight="1">
      <c r="A20" s="1236" t="s">
        <v>595</v>
      </c>
      <c r="B20" s="1237"/>
      <c r="C20" s="1237"/>
      <c r="D20" s="1237"/>
      <c r="E20" s="438">
        <f>E18/E19</f>
        <v>4.2316258351893093E-2</v>
      </c>
      <c r="F20" s="439"/>
      <c r="G20" s="440"/>
    </row>
    <row r="21" spans="1:7" ht="20.100000000000001" customHeight="1" thickBot="1">
      <c r="A21" s="1238" t="s">
        <v>287</v>
      </c>
      <c r="B21" s="1239"/>
      <c r="C21" s="1239"/>
      <c r="D21" s="1239"/>
      <c r="E21" s="441">
        <f>IF(E20="","",IF(AND(E20&gt;0.05),1,IF(AND(E20&lt;0.05,E20&gt;=0.03),0.8,IF(AND(E20&lt;0.03,E20&gt;=0.01),0.6,0))))</f>
        <v>0.8</v>
      </c>
      <c r="F21" s="442"/>
      <c r="G21" s="443"/>
    </row>
    <row r="22" spans="1:7" ht="17.25" thickBot="1"/>
    <row r="23" spans="1:7" ht="35.1" customHeight="1">
      <c r="A23" s="1240" t="str">
        <f>A8</f>
        <v>C</v>
      </c>
      <c r="B23" s="1241"/>
      <c r="C23" s="1241"/>
      <c r="D23" s="432">
        <f>D8</f>
        <v>0.14000000000000001</v>
      </c>
      <c r="E23" s="433" t="s">
        <v>596</v>
      </c>
      <c r="F23" s="434" t="s">
        <v>137</v>
      </c>
      <c r="G23" s="435" t="s">
        <v>138</v>
      </c>
    </row>
    <row r="24" spans="1:7" ht="20.100000000000001" customHeight="1">
      <c r="A24" s="1236" t="s">
        <v>593</v>
      </c>
      <c r="B24" s="1237"/>
      <c r="C24" s="1237"/>
      <c r="D24" s="1237"/>
      <c r="E24" s="165">
        <v>47</v>
      </c>
      <c r="F24" s="436">
        <f>G2-365*1-30</f>
        <v>45577</v>
      </c>
      <c r="G24" s="437">
        <f>G2-30-1</f>
        <v>45941</v>
      </c>
    </row>
    <row r="25" spans="1:7" ht="20.100000000000001" customHeight="1">
      <c r="A25" s="1236" t="s">
        <v>594</v>
      </c>
      <c r="B25" s="1237"/>
      <c r="C25" s="1237"/>
      <c r="D25" s="1237"/>
      <c r="E25" s="165">
        <v>1359</v>
      </c>
      <c r="F25" s="436">
        <f>G2-365*2-30</f>
        <v>45212</v>
      </c>
      <c r="G25" s="437">
        <f>F24-1</f>
        <v>45576</v>
      </c>
    </row>
    <row r="26" spans="1:7" ht="20.100000000000001" customHeight="1">
      <c r="A26" s="1236" t="s">
        <v>595</v>
      </c>
      <c r="B26" s="1237"/>
      <c r="C26" s="1237"/>
      <c r="D26" s="1237"/>
      <c r="E26" s="438">
        <f>E24/E25</f>
        <v>3.4584253127299486E-2</v>
      </c>
      <c r="F26" s="439"/>
      <c r="G26" s="440"/>
    </row>
    <row r="27" spans="1:7" ht="20.100000000000001" customHeight="1" thickBot="1">
      <c r="A27" s="1238" t="s">
        <v>287</v>
      </c>
      <c r="B27" s="1239"/>
      <c r="C27" s="1239"/>
      <c r="D27" s="1239"/>
      <c r="E27" s="441">
        <f>IF(E26="","",IF(AND(E26&gt;0.05),1,IF(AND(E26&lt;0.05,E26&gt;=0.03),0.8,IF(AND(E26&lt;0.03,E26&gt;=0.01),0.6,0))))</f>
        <v>0.8</v>
      </c>
      <c r="F27" s="442"/>
      <c r="G27" s="443"/>
    </row>
    <row r="28" spans="1:7" ht="17.25" thickBot="1"/>
    <row r="29" spans="1:7" ht="35.1" customHeight="1">
      <c r="A29" s="1240" t="e">
        <f>#REF!</f>
        <v>#REF!</v>
      </c>
      <c r="B29" s="1241"/>
      <c r="C29" s="1241"/>
      <c r="D29" s="432" t="e">
        <f>#REF!</f>
        <v>#REF!</v>
      </c>
      <c r="E29" s="433" t="s">
        <v>282</v>
      </c>
      <c r="F29" s="434" t="s">
        <v>137</v>
      </c>
      <c r="G29" s="435" t="s">
        <v>138</v>
      </c>
    </row>
    <row r="30" spans="1:7" ht="20.100000000000001" customHeight="1">
      <c r="A30" s="1236" t="s">
        <v>285</v>
      </c>
      <c r="B30" s="1237"/>
      <c r="C30" s="1237"/>
      <c r="D30" s="1237"/>
      <c r="E30" s="165">
        <v>0</v>
      </c>
      <c r="F30" s="436">
        <f>G2-365*1-30</f>
        <v>45577</v>
      </c>
      <c r="G30" s="437">
        <f>G2-30-1</f>
        <v>45941</v>
      </c>
    </row>
    <row r="31" spans="1:7" ht="20.100000000000001" customHeight="1">
      <c r="A31" s="1236" t="s">
        <v>286</v>
      </c>
      <c r="B31" s="1237"/>
      <c r="C31" s="1237"/>
      <c r="D31" s="1237"/>
      <c r="E31" s="165">
        <v>1</v>
      </c>
      <c r="F31" s="436">
        <f>G2-365*2-30</f>
        <v>45212</v>
      </c>
      <c r="G31" s="437">
        <f>F30-1</f>
        <v>45576</v>
      </c>
    </row>
    <row r="32" spans="1:7" ht="20.100000000000001" customHeight="1">
      <c r="A32" s="1236" t="s">
        <v>281</v>
      </c>
      <c r="B32" s="1237"/>
      <c r="C32" s="1237"/>
      <c r="D32" s="1237"/>
      <c r="E32" s="444">
        <f>E30/E31</f>
        <v>0</v>
      </c>
      <c r="F32" s="439"/>
      <c r="G32" s="440"/>
    </row>
    <row r="33" spans="1:7" ht="20.100000000000001" customHeight="1" thickBot="1">
      <c r="A33" s="1238" t="s">
        <v>287</v>
      </c>
      <c r="B33" s="1239"/>
      <c r="C33" s="1239"/>
      <c r="D33" s="1239"/>
      <c r="E33" s="441">
        <f>IF(E32="","",IF(AND(E32&lt;0.02,E32&gt;=0.01),1.2,IF(AND(E32&lt;0.03,E32&gt;=0.02),1.4,IF(AND(E32&lt;0.04,E32&gt;=0.03),1.6,IF(AND(E32&lt;0.05,E32&gt;=0.04),1.8,IF(E32&gt;=0.05,2,0))))))</f>
        <v>0</v>
      </c>
      <c r="F33" s="442"/>
      <c r="G33" s="443"/>
    </row>
    <row r="34" spans="1:7" ht="17.25" thickBot="1"/>
    <row r="35" spans="1:7" ht="30.75" customHeight="1">
      <c r="A35" s="1240">
        <f>참여업체!G5</f>
        <v>0</v>
      </c>
      <c r="B35" s="1241"/>
      <c r="C35" s="1241"/>
      <c r="D35" s="432" t="e">
        <f>#REF!</f>
        <v>#REF!</v>
      </c>
      <c r="E35" s="433" t="s">
        <v>282</v>
      </c>
      <c r="F35" s="434" t="s">
        <v>137</v>
      </c>
      <c r="G35" s="435" t="s">
        <v>138</v>
      </c>
    </row>
    <row r="36" spans="1:7">
      <c r="A36" s="1236" t="s">
        <v>285</v>
      </c>
      <c r="B36" s="1237"/>
      <c r="C36" s="1237"/>
      <c r="D36" s="1237"/>
      <c r="E36" s="165">
        <v>0</v>
      </c>
      <c r="F36" s="436">
        <f>G2-365*1-30</f>
        <v>45577</v>
      </c>
      <c r="G36" s="437">
        <f>G2-30-1</f>
        <v>45941</v>
      </c>
    </row>
    <row r="37" spans="1:7">
      <c r="A37" s="1236" t="s">
        <v>286</v>
      </c>
      <c r="B37" s="1237"/>
      <c r="C37" s="1237"/>
      <c r="D37" s="1237"/>
      <c r="E37" s="165">
        <v>1</v>
      </c>
      <c r="F37" s="436">
        <f>G2-365*2-30</f>
        <v>45212</v>
      </c>
      <c r="G37" s="437">
        <f>F36-1</f>
        <v>45576</v>
      </c>
    </row>
    <row r="38" spans="1:7">
      <c r="A38" s="1236" t="s">
        <v>281</v>
      </c>
      <c r="B38" s="1237"/>
      <c r="C38" s="1237"/>
      <c r="D38" s="1237"/>
      <c r="E38" s="444">
        <f>E36/E37</f>
        <v>0</v>
      </c>
      <c r="F38" s="439"/>
      <c r="G38" s="440"/>
    </row>
    <row r="39" spans="1:7" ht="17.25" thickBot="1">
      <c r="A39" s="1238" t="s">
        <v>287</v>
      </c>
      <c r="B39" s="1239"/>
      <c r="C39" s="1239"/>
      <c r="D39" s="1239"/>
      <c r="E39" s="441">
        <f>IF(E38="","",IF(AND(E38&lt;0.02,E38&gt;=0.01),1.2,IF(AND(E38&lt;0.03,E38&gt;=0.02),1.4,IF(AND(E38&lt;0.04,E38&gt;=0.03),1.6,IF(AND(E38&lt;0.05,E38&gt;=0.04),1.8,IF(E38&gt;=0.05,2,0))))))</f>
        <v>0</v>
      </c>
      <c r="F39" s="442"/>
      <c r="G39" s="443"/>
    </row>
  </sheetData>
  <mergeCells count="38">
    <mergeCell ref="A1:F2"/>
    <mergeCell ref="A3:G3"/>
    <mergeCell ref="A4:C5"/>
    <mergeCell ref="D4:D5"/>
    <mergeCell ref="E4:E5"/>
    <mergeCell ref="F4:F5"/>
    <mergeCell ref="G4:G5"/>
    <mergeCell ref="A15:D15"/>
    <mergeCell ref="A6:C6"/>
    <mergeCell ref="F6:F9"/>
    <mergeCell ref="A7:C7"/>
    <mergeCell ref="A8:C8"/>
    <mergeCell ref="A9:D9"/>
    <mergeCell ref="F10:I10"/>
    <mergeCell ref="A11:C11"/>
    <mergeCell ref="A12:D12"/>
    <mergeCell ref="A13:D13"/>
    <mergeCell ref="A14:D14"/>
    <mergeCell ref="A30:D30"/>
    <mergeCell ref="A17:C17"/>
    <mergeCell ref="A18:D18"/>
    <mergeCell ref="A19:D19"/>
    <mergeCell ref="A20:D20"/>
    <mergeCell ref="A21:D21"/>
    <mergeCell ref="A23:C23"/>
    <mergeCell ref="A24:D24"/>
    <mergeCell ref="A25:D25"/>
    <mergeCell ref="A26:D26"/>
    <mergeCell ref="A27:D27"/>
    <mergeCell ref="A29:C29"/>
    <mergeCell ref="A38:D38"/>
    <mergeCell ref="A39:D39"/>
    <mergeCell ref="A31:D31"/>
    <mergeCell ref="A32:D32"/>
    <mergeCell ref="A33:D33"/>
    <mergeCell ref="A35:C35"/>
    <mergeCell ref="A36:D36"/>
    <mergeCell ref="A37:D37"/>
  </mergeCells>
  <phoneticPr fontId="2" type="noConversion"/>
  <pageMargins left="0.7" right="0.7" top="0.75" bottom="0.75" header="0.3" footer="0.3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K59"/>
  <sheetViews>
    <sheetView showGridLines="0" view="pageBreakPreview" topLeftCell="A16" zoomScale="85" zoomScaleNormal="100" zoomScaleSheetLayoutView="85" workbookViewId="0">
      <selection activeCell="G27" sqref="G27"/>
    </sheetView>
  </sheetViews>
  <sheetFormatPr defaultRowHeight="13.5"/>
  <cols>
    <col min="1" max="1" width="8.875" style="23" customWidth="1"/>
    <col min="2" max="2" width="9" style="23"/>
    <col min="3" max="4" width="6.5" style="23" customWidth="1"/>
    <col min="5" max="5" width="9" style="23"/>
    <col min="6" max="6" width="8.25" style="23" customWidth="1"/>
    <col min="7" max="7" width="10" style="23" customWidth="1"/>
    <col min="8" max="8" width="35.25" style="23" customWidth="1"/>
    <col min="9" max="256" width="9" style="23"/>
    <col min="257" max="257" width="8.875" style="23" customWidth="1"/>
    <col min="258" max="258" width="9" style="23"/>
    <col min="259" max="260" width="6.5" style="23" customWidth="1"/>
    <col min="261" max="261" width="9" style="23"/>
    <col min="262" max="262" width="8.25" style="23" customWidth="1"/>
    <col min="263" max="263" width="10" style="23" customWidth="1"/>
    <col min="264" max="264" width="25.5" style="23" customWidth="1"/>
    <col min="265" max="512" width="9" style="23"/>
    <col min="513" max="513" width="8.875" style="23" customWidth="1"/>
    <col min="514" max="514" width="9" style="23"/>
    <col min="515" max="516" width="6.5" style="23" customWidth="1"/>
    <col min="517" max="517" width="9" style="23"/>
    <col min="518" max="518" width="8.25" style="23" customWidth="1"/>
    <col min="519" max="519" width="10" style="23" customWidth="1"/>
    <col min="520" max="520" width="25.5" style="23" customWidth="1"/>
    <col min="521" max="768" width="9" style="23"/>
    <col min="769" max="769" width="8.875" style="23" customWidth="1"/>
    <col min="770" max="770" width="9" style="23"/>
    <col min="771" max="772" width="6.5" style="23" customWidth="1"/>
    <col min="773" max="773" width="9" style="23"/>
    <col min="774" max="774" width="8.25" style="23" customWidth="1"/>
    <col min="775" max="775" width="10" style="23" customWidth="1"/>
    <col min="776" max="776" width="25.5" style="23" customWidth="1"/>
    <col min="777" max="1024" width="9" style="23"/>
    <col min="1025" max="1025" width="8.875" style="23" customWidth="1"/>
    <col min="1026" max="1026" width="9" style="23"/>
    <col min="1027" max="1028" width="6.5" style="23" customWidth="1"/>
    <col min="1029" max="1029" width="9" style="23"/>
    <col min="1030" max="1030" width="8.25" style="23" customWidth="1"/>
    <col min="1031" max="1031" width="10" style="23" customWidth="1"/>
    <col min="1032" max="1032" width="25.5" style="23" customWidth="1"/>
    <col min="1033" max="1280" width="9" style="23"/>
    <col min="1281" max="1281" width="8.875" style="23" customWidth="1"/>
    <col min="1282" max="1282" width="9" style="23"/>
    <col min="1283" max="1284" width="6.5" style="23" customWidth="1"/>
    <col min="1285" max="1285" width="9" style="23"/>
    <col min="1286" max="1286" width="8.25" style="23" customWidth="1"/>
    <col min="1287" max="1287" width="10" style="23" customWidth="1"/>
    <col min="1288" max="1288" width="25.5" style="23" customWidth="1"/>
    <col min="1289" max="1536" width="9" style="23"/>
    <col min="1537" max="1537" width="8.875" style="23" customWidth="1"/>
    <col min="1538" max="1538" width="9" style="23"/>
    <col min="1539" max="1540" width="6.5" style="23" customWidth="1"/>
    <col min="1541" max="1541" width="9" style="23"/>
    <col min="1542" max="1542" width="8.25" style="23" customWidth="1"/>
    <col min="1543" max="1543" width="10" style="23" customWidth="1"/>
    <col min="1544" max="1544" width="25.5" style="23" customWidth="1"/>
    <col min="1545" max="1792" width="9" style="23"/>
    <col min="1793" max="1793" width="8.875" style="23" customWidth="1"/>
    <col min="1794" max="1794" width="9" style="23"/>
    <col min="1795" max="1796" width="6.5" style="23" customWidth="1"/>
    <col min="1797" max="1797" width="9" style="23"/>
    <col min="1798" max="1798" width="8.25" style="23" customWidth="1"/>
    <col min="1799" max="1799" width="10" style="23" customWidth="1"/>
    <col min="1800" max="1800" width="25.5" style="23" customWidth="1"/>
    <col min="1801" max="2048" width="9" style="23"/>
    <col min="2049" max="2049" width="8.875" style="23" customWidth="1"/>
    <col min="2050" max="2050" width="9" style="23"/>
    <col min="2051" max="2052" width="6.5" style="23" customWidth="1"/>
    <col min="2053" max="2053" width="9" style="23"/>
    <col min="2054" max="2054" width="8.25" style="23" customWidth="1"/>
    <col min="2055" max="2055" width="10" style="23" customWidth="1"/>
    <col min="2056" max="2056" width="25.5" style="23" customWidth="1"/>
    <col min="2057" max="2304" width="9" style="23"/>
    <col min="2305" max="2305" width="8.875" style="23" customWidth="1"/>
    <col min="2306" max="2306" width="9" style="23"/>
    <col min="2307" max="2308" width="6.5" style="23" customWidth="1"/>
    <col min="2309" max="2309" width="9" style="23"/>
    <col min="2310" max="2310" width="8.25" style="23" customWidth="1"/>
    <col min="2311" max="2311" width="10" style="23" customWidth="1"/>
    <col min="2312" max="2312" width="25.5" style="23" customWidth="1"/>
    <col min="2313" max="2560" width="9" style="23"/>
    <col min="2561" max="2561" width="8.875" style="23" customWidth="1"/>
    <col min="2562" max="2562" width="9" style="23"/>
    <col min="2563" max="2564" width="6.5" style="23" customWidth="1"/>
    <col min="2565" max="2565" width="9" style="23"/>
    <col min="2566" max="2566" width="8.25" style="23" customWidth="1"/>
    <col min="2567" max="2567" width="10" style="23" customWidth="1"/>
    <col min="2568" max="2568" width="25.5" style="23" customWidth="1"/>
    <col min="2569" max="2816" width="9" style="23"/>
    <col min="2817" max="2817" width="8.875" style="23" customWidth="1"/>
    <col min="2818" max="2818" width="9" style="23"/>
    <col min="2819" max="2820" width="6.5" style="23" customWidth="1"/>
    <col min="2821" max="2821" width="9" style="23"/>
    <col min="2822" max="2822" width="8.25" style="23" customWidth="1"/>
    <col min="2823" max="2823" width="10" style="23" customWidth="1"/>
    <col min="2824" max="2824" width="25.5" style="23" customWidth="1"/>
    <col min="2825" max="3072" width="9" style="23"/>
    <col min="3073" max="3073" width="8.875" style="23" customWidth="1"/>
    <col min="3074" max="3074" width="9" style="23"/>
    <col min="3075" max="3076" width="6.5" style="23" customWidth="1"/>
    <col min="3077" max="3077" width="9" style="23"/>
    <col min="3078" max="3078" width="8.25" style="23" customWidth="1"/>
    <col min="3079" max="3079" width="10" style="23" customWidth="1"/>
    <col min="3080" max="3080" width="25.5" style="23" customWidth="1"/>
    <col min="3081" max="3328" width="9" style="23"/>
    <col min="3329" max="3329" width="8.875" style="23" customWidth="1"/>
    <col min="3330" max="3330" width="9" style="23"/>
    <col min="3331" max="3332" width="6.5" style="23" customWidth="1"/>
    <col min="3333" max="3333" width="9" style="23"/>
    <col min="3334" max="3334" width="8.25" style="23" customWidth="1"/>
    <col min="3335" max="3335" width="10" style="23" customWidth="1"/>
    <col min="3336" max="3336" width="25.5" style="23" customWidth="1"/>
    <col min="3337" max="3584" width="9" style="23"/>
    <col min="3585" max="3585" width="8.875" style="23" customWidth="1"/>
    <col min="3586" max="3586" width="9" style="23"/>
    <col min="3587" max="3588" width="6.5" style="23" customWidth="1"/>
    <col min="3589" max="3589" width="9" style="23"/>
    <col min="3590" max="3590" width="8.25" style="23" customWidth="1"/>
    <col min="3591" max="3591" width="10" style="23" customWidth="1"/>
    <col min="3592" max="3592" width="25.5" style="23" customWidth="1"/>
    <col min="3593" max="3840" width="9" style="23"/>
    <col min="3841" max="3841" width="8.875" style="23" customWidth="1"/>
    <col min="3842" max="3842" width="9" style="23"/>
    <col min="3843" max="3844" width="6.5" style="23" customWidth="1"/>
    <col min="3845" max="3845" width="9" style="23"/>
    <col min="3846" max="3846" width="8.25" style="23" customWidth="1"/>
    <col min="3847" max="3847" width="10" style="23" customWidth="1"/>
    <col min="3848" max="3848" width="25.5" style="23" customWidth="1"/>
    <col min="3849" max="4096" width="9" style="23"/>
    <col min="4097" max="4097" width="8.875" style="23" customWidth="1"/>
    <col min="4098" max="4098" width="9" style="23"/>
    <col min="4099" max="4100" width="6.5" style="23" customWidth="1"/>
    <col min="4101" max="4101" width="9" style="23"/>
    <col min="4102" max="4102" width="8.25" style="23" customWidth="1"/>
    <col min="4103" max="4103" width="10" style="23" customWidth="1"/>
    <col min="4104" max="4104" width="25.5" style="23" customWidth="1"/>
    <col min="4105" max="4352" width="9" style="23"/>
    <col min="4353" max="4353" width="8.875" style="23" customWidth="1"/>
    <col min="4354" max="4354" width="9" style="23"/>
    <col min="4355" max="4356" width="6.5" style="23" customWidth="1"/>
    <col min="4357" max="4357" width="9" style="23"/>
    <col min="4358" max="4358" width="8.25" style="23" customWidth="1"/>
    <col min="4359" max="4359" width="10" style="23" customWidth="1"/>
    <col min="4360" max="4360" width="25.5" style="23" customWidth="1"/>
    <col min="4361" max="4608" width="9" style="23"/>
    <col min="4609" max="4609" width="8.875" style="23" customWidth="1"/>
    <col min="4610" max="4610" width="9" style="23"/>
    <col min="4611" max="4612" width="6.5" style="23" customWidth="1"/>
    <col min="4613" max="4613" width="9" style="23"/>
    <col min="4614" max="4614" width="8.25" style="23" customWidth="1"/>
    <col min="4615" max="4615" width="10" style="23" customWidth="1"/>
    <col min="4616" max="4616" width="25.5" style="23" customWidth="1"/>
    <col min="4617" max="4864" width="9" style="23"/>
    <col min="4865" max="4865" width="8.875" style="23" customWidth="1"/>
    <col min="4866" max="4866" width="9" style="23"/>
    <col min="4867" max="4868" width="6.5" style="23" customWidth="1"/>
    <col min="4869" max="4869" width="9" style="23"/>
    <col min="4870" max="4870" width="8.25" style="23" customWidth="1"/>
    <col min="4871" max="4871" width="10" style="23" customWidth="1"/>
    <col min="4872" max="4872" width="25.5" style="23" customWidth="1"/>
    <col min="4873" max="5120" width="9" style="23"/>
    <col min="5121" max="5121" width="8.875" style="23" customWidth="1"/>
    <col min="5122" max="5122" width="9" style="23"/>
    <col min="5123" max="5124" width="6.5" style="23" customWidth="1"/>
    <col min="5125" max="5125" width="9" style="23"/>
    <col min="5126" max="5126" width="8.25" style="23" customWidth="1"/>
    <col min="5127" max="5127" width="10" style="23" customWidth="1"/>
    <col min="5128" max="5128" width="25.5" style="23" customWidth="1"/>
    <col min="5129" max="5376" width="9" style="23"/>
    <col min="5377" max="5377" width="8.875" style="23" customWidth="1"/>
    <col min="5378" max="5378" width="9" style="23"/>
    <col min="5379" max="5380" width="6.5" style="23" customWidth="1"/>
    <col min="5381" max="5381" width="9" style="23"/>
    <col min="5382" max="5382" width="8.25" style="23" customWidth="1"/>
    <col min="5383" max="5383" width="10" style="23" customWidth="1"/>
    <col min="5384" max="5384" width="25.5" style="23" customWidth="1"/>
    <col min="5385" max="5632" width="9" style="23"/>
    <col min="5633" max="5633" width="8.875" style="23" customWidth="1"/>
    <col min="5634" max="5634" width="9" style="23"/>
    <col min="5635" max="5636" width="6.5" style="23" customWidth="1"/>
    <col min="5637" max="5637" width="9" style="23"/>
    <col min="5638" max="5638" width="8.25" style="23" customWidth="1"/>
    <col min="5639" max="5639" width="10" style="23" customWidth="1"/>
    <col min="5640" max="5640" width="25.5" style="23" customWidth="1"/>
    <col min="5641" max="5888" width="9" style="23"/>
    <col min="5889" max="5889" width="8.875" style="23" customWidth="1"/>
    <col min="5890" max="5890" width="9" style="23"/>
    <col min="5891" max="5892" width="6.5" style="23" customWidth="1"/>
    <col min="5893" max="5893" width="9" style="23"/>
    <col min="5894" max="5894" width="8.25" style="23" customWidth="1"/>
    <col min="5895" max="5895" width="10" style="23" customWidth="1"/>
    <col min="5896" max="5896" width="25.5" style="23" customWidth="1"/>
    <col min="5897" max="6144" width="9" style="23"/>
    <col min="6145" max="6145" width="8.875" style="23" customWidth="1"/>
    <col min="6146" max="6146" width="9" style="23"/>
    <col min="6147" max="6148" width="6.5" style="23" customWidth="1"/>
    <col min="6149" max="6149" width="9" style="23"/>
    <col min="6150" max="6150" width="8.25" style="23" customWidth="1"/>
    <col min="6151" max="6151" width="10" style="23" customWidth="1"/>
    <col min="6152" max="6152" width="25.5" style="23" customWidth="1"/>
    <col min="6153" max="6400" width="9" style="23"/>
    <col min="6401" max="6401" width="8.875" style="23" customWidth="1"/>
    <col min="6402" max="6402" width="9" style="23"/>
    <col min="6403" max="6404" width="6.5" style="23" customWidth="1"/>
    <col min="6405" max="6405" width="9" style="23"/>
    <col min="6406" max="6406" width="8.25" style="23" customWidth="1"/>
    <col min="6407" max="6407" width="10" style="23" customWidth="1"/>
    <col min="6408" max="6408" width="25.5" style="23" customWidth="1"/>
    <col min="6409" max="6656" width="9" style="23"/>
    <col min="6657" max="6657" width="8.875" style="23" customWidth="1"/>
    <col min="6658" max="6658" width="9" style="23"/>
    <col min="6659" max="6660" width="6.5" style="23" customWidth="1"/>
    <col min="6661" max="6661" width="9" style="23"/>
    <col min="6662" max="6662" width="8.25" style="23" customWidth="1"/>
    <col min="6663" max="6663" width="10" style="23" customWidth="1"/>
    <col min="6664" max="6664" width="25.5" style="23" customWidth="1"/>
    <col min="6665" max="6912" width="9" style="23"/>
    <col min="6913" max="6913" width="8.875" style="23" customWidth="1"/>
    <col min="6914" max="6914" width="9" style="23"/>
    <col min="6915" max="6916" width="6.5" style="23" customWidth="1"/>
    <col min="6917" max="6917" width="9" style="23"/>
    <col min="6918" max="6918" width="8.25" style="23" customWidth="1"/>
    <col min="6919" max="6919" width="10" style="23" customWidth="1"/>
    <col min="6920" max="6920" width="25.5" style="23" customWidth="1"/>
    <col min="6921" max="7168" width="9" style="23"/>
    <col min="7169" max="7169" width="8.875" style="23" customWidth="1"/>
    <col min="7170" max="7170" width="9" style="23"/>
    <col min="7171" max="7172" width="6.5" style="23" customWidth="1"/>
    <col min="7173" max="7173" width="9" style="23"/>
    <col min="7174" max="7174" width="8.25" style="23" customWidth="1"/>
    <col min="7175" max="7175" width="10" style="23" customWidth="1"/>
    <col min="7176" max="7176" width="25.5" style="23" customWidth="1"/>
    <col min="7177" max="7424" width="9" style="23"/>
    <col min="7425" max="7425" width="8.875" style="23" customWidth="1"/>
    <col min="7426" max="7426" width="9" style="23"/>
    <col min="7427" max="7428" width="6.5" style="23" customWidth="1"/>
    <col min="7429" max="7429" width="9" style="23"/>
    <col min="7430" max="7430" width="8.25" style="23" customWidth="1"/>
    <col min="7431" max="7431" width="10" style="23" customWidth="1"/>
    <col min="7432" max="7432" width="25.5" style="23" customWidth="1"/>
    <col min="7433" max="7680" width="9" style="23"/>
    <col min="7681" max="7681" width="8.875" style="23" customWidth="1"/>
    <col min="7682" max="7682" width="9" style="23"/>
    <col min="7683" max="7684" width="6.5" style="23" customWidth="1"/>
    <col min="7685" max="7685" width="9" style="23"/>
    <col min="7686" max="7686" width="8.25" style="23" customWidth="1"/>
    <col min="7687" max="7687" width="10" style="23" customWidth="1"/>
    <col min="7688" max="7688" width="25.5" style="23" customWidth="1"/>
    <col min="7689" max="7936" width="9" style="23"/>
    <col min="7937" max="7937" width="8.875" style="23" customWidth="1"/>
    <col min="7938" max="7938" width="9" style="23"/>
    <col min="7939" max="7940" width="6.5" style="23" customWidth="1"/>
    <col min="7941" max="7941" width="9" style="23"/>
    <col min="7942" max="7942" width="8.25" style="23" customWidth="1"/>
    <col min="7943" max="7943" width="10" style="23" customWidth="1"/>
    <col min="7944" max="7944" width="25.5" style="23" customWidth="1"/>
    <col min="7945" max="8192" width="9" style="23"/>
    <col min="8193" max="8193" width="8.875" style="23" customWidth="1"/>
    <col min="8194" max="8194" width="9" style="23"/>
    <col min="8195" max="8196" width="6.5" style="23" customWidth="1"/>
    <col min="8197" max="8197" width="9" style="23"/>
    <col min="8198" max="8198" width="8.25" style="23" customWidth="1"/>
    <col min="8199" max="8199" width="10" style="23" customWidth="1"/>
    <col min="8200" max="8200" width="25.5" style="23" customWidth="1"/>
    <col min="8201" max="8448" width="9" style="23"/>
    <col min="8449" max="8449" width="8.875" style="23" customWidth="1"/>
    <col min="8450" max="8450" width="9" style="23"/>
    <col min="8451" max="8452" width="6.5" style="23" customWidth="1"/>
    <col min="8453" max="8453" width="9" style="23"/>
    <col min="8454" max="8454" width="8.25" style="23" customWidth="1"/>
    <col min="8455" max="8455" width="10" style="23" customWidth="1"/>
    <col min="8456" max="8456" width="25.5" style="23" customWidth="1"/>
    <col min="8457" max="8704" width="9" style="23"/>
    <col min="8705" max="8705" width="8.875" style="23" customWidth="1"/>
    <col min="8706" max="8706" width="9" style="23"/>
    <col min="8707" max="8708" width="6.5" style="23" customWidth="1"/>
    <col min="8709" max="8709" width="9" style="23"/>
    <col min="8710" max="8710" width="8.25" style="23" customWidth="1"/>
    <col min="8711" max="8711" width="10" style="23" customWidth="1"/>
    <col min="8712" max="8712" width="25.5" style="23" customWidth="1"/>
    <col min="8713" max="8960" width="9" style="23"/>
    <col min="8961" max="8961" width="8.875" style="23" customWidth="1"/>
    <col min="8962" max="8962" width="9" style="23"/>
    <col min="8963" max="8964" width="6.5" style="23" customWidth="1"/>
    <col min="8965" max="8965" width="9" style="23"/>
    <col min="8966" max="8966" width="8.25" style="23" customWidth="1"/>
    <col min="8967" max="8967" width="10" style="23" customWidth="1"/>
    <col min="8968" max="8968" width="25.5" style="23" customWidth="1"/>
    <col min="8969" max="9216" width="9" style="23"/>
    <col min="9217" max="9217" width="8.875" style="23" customWidth="1"/>
    <col min="9218" max="9218" width="9" style="23"/>
    <col min="9219" max="9220" width="6.5" style="23" customWidth="1"/>
    <col min="9221" max="9221" width="9" style="23"/>
    <col min="9222" max="9222" width="8.25" style="23" customWidth="1"/>
    <col min="9223" max="9223" width="10" style="23" customWidth="1"/>
    <col min="9224" max="9224" width="25.5" style="23" customWidth="1"/>
    <col min="9225" max="9472" width="9" style="23"/>
    <col min="9473" max="9473" width="8.875" style="23" customWidth="1"/>
    <col min="9474" max="9474" width="9" style="23"/>
    <col min="9475" max="9476" width="6.5" style="23" customWidth="1"/>
    <col min="9477" max="9477" width="9" style="23"/>
    <col min="9478" max="9478" width="8.25" style="23" customWidth="1"/>
    <col min="9479" max="9479" width="10" style="23" customWidth="1"/>
    <col min="9480" max="9480" width="25.5" style="23" customWidth="1"/>
    <col min="9481" max="9728" width="9" style="23"/>
    <col min="9729" max="9729" width="8.875" style="23" customWidth="1"/>
    <col min="9730" max="9730" width="9" style="23"/>
    <col min="9731" max="9732" width="6.5" style="23" customWidth="1"/>
    <col min="9733" max="9733" width="9" style="23"/>
    <col min="9734" max="9734" width="8.25" style="23" customWidth="1"/>
    <col min="9735" max="9735" width="10" style="23" customWidth="1"/>
    <col min="9736" max="9736" width="25.5" style="23" customWidth="1"/>
    <col min="9737" max="9984" width="9" style="23"/>
    <col min="9985" max="9985" width="8.875" style="23" customWidth="1"/>
    <col min="9986" max="9986" width="9" style="23"/>
    <col min="9987" max="9988" width="6.5" style="23" customWidth="1"/>
    <col min="9989" max="9989" width="9" style="23"/>
    <col min="9990" max="9990" width="8.25" style="23" customWidth="1"/>
    <col min="9991" max="9991" width="10" style="23" customWidth="1"/>
    <col min="9992" max="9992" width="25.5" style="23" customWidth="1"/>
    <col min="9993" max="10240" width="9" style="23"/>
    <col min="10241" max="10241" width="8.875" style="23" customWidth="1"/>
    <col min="10242" max="10242" width="9" style="23"/>
    <col min="10243" max="10244" width="6.5" style="23" customWidth="1"/>
    <col min="10245" max="10245" width="9" style="23"/>
    <col min="10246" max="10246" width="8.25" style="23" customWidth="1"/>
    <col min="10247" max="10247" width="10" style="23" customWidth="1"/>
    <col min="10248" max="10248" width="25.5" style="23" customWidth="1"/>
    <col min="10249" max="10496" width="9" style="23"/>
    <col min="10497" max="10497" width="8.875" style="23" customWidth="1"/>
    <col min="10498" max="10498" width="9" style="23"/>
    <col min="10499" max="10500" width="6.5" style="23" customWidth="1"/>
    <col min="10501" max="10501" width="9" style="23"/>
    <col min="10502" max="10502" width="8.25" style="23" customWidth="1"/>
    <col min="10503" max="10503" width="10" style="23" customWidth="1"/>
    <col min="10504" max="10504" width="25.5" style="23" customWidth="1"/>
    <col min="10505" max="10752" width="9" style="23"/>
    <col min="10753" max="10753" width="8.875" style="23" customWidth="1"/>
    <col min="10754" max="10754" width="9" style="23"/>
    <col min="10755" max="10756" width="6.5" style="23" customWidth="1"/>
    <col min="10757" max="10757" width="9" style="23"/>
    <col min="10758" max="10758" width="8.25" style="23" customWidth="1"/>
    <col min="10759" max="10759" width="10" style="23" customWidth="1"/>
    <col min="10760" max="10760" width="25.5" style="23" customWidth="1"/>
    <col min="10761" max="11008" width="9" style="23"/>
    <col min="11009" max="11009" width="8.875" style="23" customWidth="1"/>
    <col min="11010" max="11010" width="9" style="23"/>
    <col min="11011" max="11012" width="6.5" style="23" customWidth="1"/>
    <col min="11013" max="11013" width="9" style="23"/>
    <col min="11014" max="11014" width="8.25" style="23" customWidth="1"/>
    <col min="11015" max="11015" width="10" style="23" customWidth="1"/>
    <col min="11016" max="11016" width="25.5" style="23" customWidth="1"/>
    <col min="11017" max="11264" width="9" style="23"/>
    <col min="11265" max="11265" width="8.875" style="23" customWidth="1"/>
    <col min="11266" max="11266" width="9" style="23"/>
    <col min="11267" max="11268" width="6.5" style="23" customWidth="1"/>
    <col min="11269" max="11269" width="9" style="23"/>
    <col min="11270" max="11270" width="8.25" style="23" customWidth="1"/>
    <col min="11271" max="11271" width="10" style="23" customWidth="1"/>
    <col min="11272" max="11272" width="25.5" style="23" customWidth="1"/>
    <col min="11273" max="11520" width="9" style="23"/>
    <col min="11521" max="11521" width="8.875" style="23" customWidth="1"/>
    <col min="11522" max="11522" width="9" style="23"/>
    <col min="11523" max="11524" width="6.5" style="23" customWidth="1"/>
    <col min="11525" max="11525" width="9" style="23"/>
    <col min="11526" max="11526" width="8.25" style="23" customWidth="1"/>
    <col min="11527" max="11527" width="10" style="23" customWidth="1"/>
    <col min="11528" max="11528" width="25.5" style="23" customWidth="1"/>
    <col min="11529" max="11776" width="9" style="23"/>
    <col min="11777" max="11777" width="8.875" style="23" customWidth="1"/>
    <col min="11778" max="11778" width="9" style="23"/>
    <col min="11779" max="11780" width="6.5" style="23" customWidth="1"/>
    <col min="11781" max="11781" width="9" style="23"/>
    <col min="11782" max="11782" width="8.25" style="23" customWidth="1"/>
    <col min="11783" max="11783" width="10" style="23" customWidth="1"/>
    <col min="11784" max="11784" width="25.5" style="23" customWidth="1"/>
    <col min="11785" max="12032" width="9" style="23"/>
    <col min="12033" max="12033" width="8.875" style="23" customWidth="1"/>
    <col min="12034" max="12034" width="9" style="23"/>
    <col min="12035" max="12036" width="6.5" style="23" customWidth="1"/>
    <col min="12037" max="12037" width="9" style="23"/>
    <col min="12038" max="12038" width="8.25" style="23" customWidth="1"/>
    <col min="12039" max="12039" width="10" style="23" customWidth="1"/>
    <col min="12040" max="12040" width="25.5" style="23" customWidth="1"/>
    <col min="12041" max="12288" width="9" style="23"/>
    <col min="12289" max="12289" width="8.875" style="23" customWidth="1"/>
    <col min="12290" max="12290" width="9" style="23"/>
    <col min="12291" max="12292" width="6.5" style="23" customWidth="1"/>
    <col min="12293" max="12293" width="9" style="23"/>
    <col min="12294" max="12294" width="8.25" style="23" customWidth="1"/>
    <col min="12295" max="12295" width="10" style="23" customWidth="1"/>
    <col min="12296" max="12296" width="25.5" style="23" customWidth="1"/>
    <col min="12297" max="12544" width="9" style="23"/>
    <col min="12545" max="12545" width="8.875" style="23" customWidth="1"/>
    <col min="12546" max="12546" width="9" style="23"/>
    <col min="12547" max="12548" width="6.5" style="23" customWidth="1"/>
    <col min="12549" max="12549" width="9" style="23"/>
    <col min="12550" max="12550" width="8.25" style="23" customWidth="1"/>
    <col min="12551" max="12551" width="10" style="23" customWidth="1"/>
    <col min="12552" max="12552" width="25.5" style="23" customWidth="1"/>
    <col min="12553" max="12800" width="9" style="23"/>
    <col min="12801" max="12801" width="8.875" style="23" customWidth="1"/>
    <col min="12802" max="12802" width="9" style="23"/>
    <col min="12803" max="12804" width="6.5" style="23" customWidth="1"/>
    <col min="12805" max="12805" width="9" style="23"/>
    <col min="12806" max="12806" width="8.25" style="23" customWidth="1"/>
    <col min="12807" max="12807" width="10" style="23" customWidth="1"/>
    <col min="12808" max="12808" width="25.5" style="23" customWidth="1"/>
    <col min="12809" max="13056" width="9" style="23"/>
    <col min="13057" max="13057" width="8.875" style="23" customWidth="1"/>
    <col min="13058" max="13058" width="9" style="23"/>
    <col min="13059" max="13060" width="6.5" style="23" customWidth="1"/>
    <col min="13061" max="13061" width="9" style="23"/>
    <col min="13062" max="13062" width="8.25" style="23" customWidth="1"/>
    <col min="13063" max="13063" width="10" style="23" customWidth="1"/>
    <col min="13064" max="13064" width="25.5" style="23" customWidth="1"/>
    <col min="13065" max="13312" width="9" style="23"/>
    <col min="13313" max="13313" width="8.875" style="23" customWidth="1"/>
    <col min="13314" max="13314" width="9" style="23"/>
    <col min="13315" max="13316" width="6.5" style="23" customWidth="1"/>
    <col min="13317" max="13317" width="9" style="23"/>
    <col min="13318" max="13318" width="8.25" style="23" customWidth="1"/>
    <col min="13319" max="13319" width="10" style="23" customWidth="1"/>
    <col min="13320" max="13320" width="25.5" style="23" customWidth="1"/>
    <col min="13321" max="13568" width="9" style="23"/>
    <col min="13569" max="13569" width="8.875" style="23" customWidth="1"/>
    <col min="13570" max="13570" width="9" style="23"/>
    <col min="13571" max="13572" width="6.5" style="23" customWidth="1"/>
    <col min="13573" max="13573" width="9" style="23"/>
    <col min="13574" max="13574" width="8.25" style="23" customWidth="1"/>
    <col min="13575" max="13575" width="10" style="23" customWidth="1"/>
    <col min="13576" max="13576" width="25.5" style="23" customWidth="1"/>
    <col min="13577" max="13824" width="9" style="23"/>
    <col min="13825" max="13825" width="8.875" style="23" customWidth="1"/>
    <col min="13826" max="13826" width="9" style="23"/>
    <col min="13827" max="13828" width="6.5" style="23" customWidth="1"/>
    <col min="13829" max="13829" width="9" style="23"/>
    <col min="13830" max="13830" width="8.25" style="23" customWidth="1"/>
    <col min="13831" max="13831" width="10" style="23" customWidth="1"/>
    <col min="13832" max="13832" width="25.5" style="23" customWidth="1"/>
    <col min="13833" max="14080" width="9" style="23"/>
    <col min="14081" max="14081" width="8.875" style="23" customWidth="1"/>
    <col min="14082" max="14082" width="9" style="23"/>
    <col min="14083" max="14084" width="6.5" style="23" customWidth="1"/>
    <col min="14085" max="14085" width="9" style="23"/>
    <col min="14086" max="14086" width="8.25" style="23" customWidth="1"/>
    <col min="14087" max="14087" width="10" style="23" customWidth="1"/>
    <col min="14088" max="14088" width="25.5" style="23" customWidth="1"/>
    <col min="14089" max="14336" width="9" style="23"/>
    <col min="14337" max="14337" width="8.875" style="23" customWidth="1"/>
    <col min="14338" max="14338" width="9" style="23"/>
    <col min="14339" max="14340" width="6.5" style="23" customWidth="1"/>
    <col min="14341" max="14341" width="9" style="23"/>
    <col min="14342" max="14342" width="8.25" style="23" customWidth="1"/>
    <col min="14343" max="14343" width="10" style="23" customWidth="1"/>
    <col min="14344" max="14344" width="25.5" style="23" customWidth="1"/>
    <col min="14345" max="14592" width="9" style="23"/>
    <col min="14593" max="14593" width="8.875" style="23" customWidth="1"/>
    <col min="14594" max="14594" width="9" style="23"/>
    <col min="14595" max="14596" width="6.5" style="23" customWidth="1"/>
    <col min="14597" max="14597" width="9" style="23"/>
    <col min="14598" max="14598" width="8.25" style="23" customWidth="1"/>
    <col min="14599" max="14599" width="10" style="23" customWidth="1"/>
    <col min="14600" max="14600" width="25.5" style="23" customWidth="1"/>
    <col min="14601" max="14848" width="9" style="23"/>
    <col min="14849" max="14849" width="8.875" style="23" customWidth="1"/>
    <col min="14850" max="14850" width="9" style="23"/>
    <col min="14851" max="14852" width="6.5" style="23" customWidth="1"/>
    <col min="14853" max="14853" width="9" style="23"/>
    <col min="14854" max="14854" width="8.25" style="23" customWidth="1"/>
    <col min="14855" max="14855" width="10" style="23" customWidth="1"/>
    <col min="14856" max="14856" width="25.5" style="23" customWidth="1"/>
    <col min="14857" max="15104" width="9" style="23"/>
    <col min="15105" max="15105" width="8.875" style="23" customWidth="1"/>
    <col min="15106" max="15106" width="9" style="23"/>
    <col min="15107" max="15108" width="6.5" style="23" customWidth="1"/>
    <col min="15109" max="15109" width="9" style="23"/>
    <col min="15110" max="15110" width="8.25" style="23" customWidth="1"/>
    <col min="15111" max="15111" width="10" style="23" customWidth="1"/>
    <col min="15112" max="15112" width="25.5" style="23" customWidth="1"/>
    <col min="15113" max="15360" width="9" style="23"/>
    <col min="15361" max="15361" width="8.875" style="23" customWidth="1"/>
    <col min="15362" max="15362" width="9" style="23"/>
    <col min="15363" max="15364" width="6.5" style="23" customWidth="1"/>
    <col min="15365" max="15365" width="9" style="23"/>
    <col min="15366" max="15366" width="8.25" style="23" customWidth="1"/>
    <col min="15367" max="15367" width="10" style="23" customWidth="1"/>
    <col min="15368" max="15368" width="25.5" style="23" customWidth="1"/>
    <col min="15369" max="15616" width="9" style="23"/>
    <col min="15617" max="15617" width="8.875" style="23" customWidth="1"/>
    <col min="15618" max="15618" width="9" style="23"/>
    <col min="15619" max="15620" width="6.5" style="23" customWidth="1"/>
    <col min="15621" max="15621" width="9" style="23"/>
    <col min="15622" max="15622" width="8.25" style="23" customWidth="1"/>
    <col min="15623" max="15623" width="10" style="23" customWidth="1"/>
    <col min="15624" max="15624" width="25.5" style="23" customWidth="1"/>
    <col min="15625" max="15872" width="9" style="23"/>
    <col min="15873" max="15873" width="8.875" style="23" customWidth="1"/>
    <col min="15874" max="15874" width="9" style="23"/>
    <col min="15875" max="15876" width="6.5" style="23" customWidth="1"/>
    <col min="15877" max="15877" width="9" style="23"/>
    <col min="15878" max="15878" width="8.25" style="23" customWidth="1"/>
    <col min="15879" max="15879" width="10" style="23" customWidth="1"/>
    <col min="15880" max="15880" width="25.5" style="23" customWidth="1"/>
    <col min="15881" max="16128" width="9" style="23"/>
    <col min="16129" max="16129" width="8.875" style="23" customWidth="1"/>
    <col min="16130" max="16130" width="9" style="23"/>
    <col min="16131" max="16132" width="6.5" style="23" customWidth="1"/>
    <col min="16133" max="16133" width="9" style="23"/>
    <col min="16134" max="16134" width="8.25" style="23" customWidth="1"/>
    <col min="16135" max="16135" width="10" style="23" customWidth="1"/>
    <col min="16136" max="16136" width="25.5" style="23" customWidth="1"/>
    <col min="16137" max="16384" width="9" style="23"/>
  </cols>
  <sheetData>
    <row r="1" spans="1:8" ht="16.5" customHeight="1">
      <c r="A1" s="22"/>
      <c r="B1" s="22"/>
      <c r="C1" s="22"/>
      <c r="D1" s="22"/>
      <c r="E1" s="22"/>
      <c r="F1" s="22"/>
      <c r="G1" s="22"/>
      <c r="H1" s="22"/>
    </row>
    <row r="2" spans="1:8">
      <c r="A2" s="22"/>
      <c r="B2" s="22"/>
      <c r="C2" s="22"/>
      <c r="D2" s="22"/>
      <c r="E2" s="22"/>
      <c r="F2" s="22"/>
      <c r="G2" s="22"/>
      <c r="H2" s="22"/>
    </row>
    <row r="3" spans="1:8">
      <c r="A3" s="22"/>
      <c r="B3" s="22"/>
      <c r="C3" s="22"/>
      <c r="D3" s="22"/>
      <c r="E3" s="22"/>
      <c r="F3" s="22"/>
      <c r="G3" s="22"/>
      <c r="H3" s="22"/>
    </row>
    <row r="4" spans="1:8">
      <c r="A4" s="747" t="s">
        <v>671</v>
      </c>
      <c r="B4" s="748"/>
      <c r="C4" s="748"/>
      <c r="D4" s="748"/>
      <c r="E4" s="748"/>
      <c r="F4" s="748"/>
      <c r="G4" s="748"/>
      <c r="H4" s="748"/>
    </row>
    <row r="5" spans="1:8">
      <c r="A5" s="748"/>
      <c r="B5" s="748"/>
      <c r="C5" s="748"/>
      <c r="D5" s="748"/>
      <c r="E5" s="748"/>
      <c r="F5" s="748"/>
      <c r="G5" s="748"/>
      <c r="H5" s="748"/>
    </row>
    <row r="6" spans="1:8">
      <c r="A6" s="22"/>
      <c r="B6" s="22"/>
      <c r="C6" s="22"/>
      <c r="D6" s="22"/>
      <c r="E6" s="22"/>
      <c r="F6" s="22"/>
      <c r="G6" s="22"/>
      <c r="H6" s="22"/>
    </row>
    <row r="7" spans="1:8" ht="16.5" customHeight="1">
      <c r="A7" s="22"/>
      <c r="B7" s="22"/>
      <c r="C7" s="22"/>
      <c r="D7" s="22"/>
      <c r="E7" s="22"/>
      <c r="F7" s="22"/>
      <c r="G7" s="22"/>
      <c r="H7" s="22"/>
    </row>
    <row r="8" spans="1:8">
      <c r="A8" s="22"/>
      <c r="B8" s="22"/>
      <c r="C8" s="22"/>
      <c r="D8" s="22"/>
      <c r="E8" s="22"/>
      <c r="F8" s="22"/>
      <c r="G8" s="22"/>
      <c r="H8" s="22"/>
    </row>
    <row r="9" spans="1:8">
      <c r="A9" s="22"/>
      <c r="B9" s="22"/>
      <c r="C9" s="22"/>
      <c r="D9" s="22"/>
      <c r="E9" s="22"/>
      <c r="F9" s="22"/>
      <c r="G9" s="22"/>
      <c r="H9" s="22"/>
    </row>
    <row r="10" spans="1:8" s="25" customFormat="1" ht="20.100000000000001" customHeight="1">
      <c r="A10" s="26" t="s">
        <v>3</v>
      </c>
      <c r="B10" s="24"/>
      <c r="C10" s="24"/>
      <c r="D10" s="24"/>
      <c r="E10" s="24"/>
      <c r="F10" s="24"/>
      <c r="G10" s="24"/>
      <c r="H10" s="24"/>
    </row>
    <row r="11" spans="1:8" s="18" customFormat="1" ht="20.100000000000001" customHeight="1">
      <c r="A11" s="30" t="s">
        <v>669</v>
      </c>
      <c r="B11" s="48"/>
      <c r="C11" s="26"/>
      <c r="D11" s="26"/>
      <c r="E11" s="26"/>
      <c r="F11" s="26"/>
      <c r="G11" s="26"/>
      <c r="H11" s="26"/>
    </row>
    <row r="12" spans="1:8" s="18" customFormat="1" ht="20.100000000000001" customHeight="1">
      <c r="A12" s="30" t="s">
        <v>670</v>
      </c>
      <c r="B12" s="26"/>
      <c r="C12" s="26"/>
      <c r="D12" s="26"/>
      <c r="E12" s="26"/>
      <c r="F12" s="26"/>
      <c r="G12" s="26"/>
      <c r="H12" s="26"/>
    </row>
    <row r="13" spans="1:8" s="18" customFormat="1" ht="20.100000000000001" customHeight="1">
      <c r="A13" s="30"/>
      <c r="B13" s="26"/>
      <c r="C13" s="26"/>
      <c r="D13" s="26"/>
      <c r="E13" s="26"/>
      <c r="F13" s="26"/>
      <c r="G13" s="26"/>
      <c r="H13" s="26"/>
    </row>
    <row r="14" spans="1:8" s="18" customFormat="1" ht="20.100000000000001" customHeight="1">
      <c r="A14" s="30" t="s">
        <v>22</v>
      </c>
      <c r="B14" s="26"/>
      <c r="C14" s="26"/>
      <c r="D14" s="26"/>
      <c r="E14" s="26"/>
      <c r="F14" s="26"/>
      <c r="G14" s="26"/>
      <c r="H14" s="26"/>
    </row>
    <row r="15" spans="1:8" s="18" customFormat="1" ht="20.100000000000001" customHeight="1">
      <c r="A15" s="30"/>
      <c r="B15" s="30"/>
      <c r="C15" s="30"/>
      <c r="D15" s="30"/>
      <c r="E15" s="30"/>
      <c r="F15" s="30"/>
      <c r="G15" s="30"/>
      <c r="H15" s="30"/>
    </row>
    <row r="16" spans="1:8" ht="31.5" customHeight="1">
      <c r="A16" s="749" t="s">
        <v>4</v>
      </c>
      <c r="B16" s="749"/>
      <c r="C16" s="750"/>
      <c r="D16" s="750"/>
      <c r="E16" s="750"/>
      <c r="F16" s="750"/>
      <c r="G16" s="750"/>
      <c r="H16" s="750"/>
    </row>
    <row r="17" spans="1:8" ht="20.100000000000001" customHeight="1">
      <c r="A17" s="51"/>
      <c r="B17" s="51"/>
      <c r="C17" s="51"/>
      <c r="D17" s="51"/>
      <c r="E17" s="51"/>
      <c r="F17" s="51"/>
      <c r="G17" s="51"/>
      <c r="H17" s="51"/>
    </row>
    <row r="18" spans="1:8" s="18" customFormat="1" ht="20.100000000000001" customHeight="1">
      <c r="A18" s="30" t="s">
        <v>672</v>
      </c>
      <c r="B18" s="30"/>
      <c r="C18" s="30"/>
      <c r="D18" s="30"/>
      <c r="E18" s="30"/>
      <c r="F18" s="30"/>
      <c r="G18" s="30"/>
      <c r="H18" s="30"/>
    </row>
    <row r="19" spans="1:8" s="18" customFormat="1" ht="20.100000000000001" customHeight="1">
      <c r="A19" s="30"/>
      <c r="B19" s="30" t="s">
        <v>422</v>
      </c>
      <c r="C19" s="30"/>
      <c r="D19" s="30"/>
      <c r="E19" s="30"/>
      <c r="F19" s="30"/>
      <c r="G19" s="30"/>
      <c r="H19" s="30"/>
    </row>
    <row r="20" spans="1:8" s="18" customFormat="1" ht="20.100000000000001" customHeight="1">
      <c r="A20" s="52" t="s">
        <v>423</v>
      </c>
      <c r="B20" s="30" t="s">
        <v>420</v>
      </c>
      <c r="C20" s="30"/>
      <c r="D20" s="30"/>
      <c r="E20" s="30"/>
      <c r="F20" s="30"/>
      <c r="G20" s="30"/>
      <c r="H20" s="30"/>
    </row>
    <row r="21" spans="1:8" s="18" customFormat="1" ht="20.100000000000001" customHeight="1">
      <c r="A21" s="30"/>
      <c r="B21" s="30" t="s">
        <v>421</v>
      </c>
      <c r="C21" s="30"/>
      <c r="D21" s="30"/>
      <c r="E21" s="30"/>
      <c r="F21" s="30"/>
      <c r="G21" s="30"/>
      <c r="H21" s="30"/>
    </row>
    <row r="22" spans="1:8" s="18" customFormat="1" ht="20.100000000000001" customHeight="1">
      <c r="A22" s="30"/>
      <c r="B22" s="30" t="s">
        <v>458</v>
      </c>
      <c r="C22" s="30"/>
      <c r="D22" s="30"/>
      <c r="E22" s="30"/>
      <c r="F22" s="30"/>
      <c r="G22" s="30"/>
      <c r="H22" s="30"/>
    </row>
    <row r="23" spans="1:8" s="18" customFormat="1" ht="20.100000000000001" customHeight="1">
      <c r="A23" s="30"/>
      <c r="B23" s="30" t="s">
        <v>404</v>
      </c>
      <c r="C23" s="30"/>
      <c r="D23" s="30"/>
      <c r="E23" s="30"/>
      <c r="F23" s="30"/>
      <c r="G23" s="30"/>
      <c r="H23" s="30"/>
    </row>
    <row r="24" spans="1:8" s="18" customFormat="1" ht="20.100000000000001" customHeight="1">
      <c r="A24" s="49" t="s">
        <v>5</v>
      </c>
      <c r="B24" s="49"/>
      <c r="C24" s="30"/>
      <c r="D24" s="30"/>
      <c r="E24" s="30"/>
      <c r="F24" s="30"/>
      <c r="G24" s="30"/>
      <c r="H24" s="30"/>
    </row>
    <row r="25" spans="1:8" s="18" customFormat="1" ht="20.100000000000001" customHeight="1">
      <c r="A25" s="30"/>
      <c r="B25" s="30"/>
      <c r="C25" s="30"/>
      <c r="D25" s="30"/>
      <c r="E25" s="30"/>
      <c r="F25" s="30"/>
      <c r="G25" s="30"/>
      <c r="H25" s="30"/>
    </row>
    <row r="26" spans="1:8" ht="20.100000000000001" customHeight="1">
      <c r="A26" s="751">
        <v>45972</v>
      </c>
      <c r="B26" s="752"/>
      <c r="C26" s="752"/>
      <c r="D26" s="752"/>
      <c r="E26" s="752"/>
      <c r="F26" s="752"/>
      <c r="G26" s="752"/>
      <c r="H26" s="752"/>
    </row>
    <row r="27" spans="1:8" ht="9" customHeight="1">
      <c r="A27" s="51"/>
      <c r="B27" s="51"/>
      <c r="C27" s="51"/>
      <c r="D27" s="51"/>
      <c r="E27" s="51"/>
      <c r="F27" s="51"/>
      <c r="G27" s="51"/>
      <c r="H27" s="51"/>
    </row>
    <row r="28" spans="1:8" ht="14.25">
      <c r="A28" s="51"/>
      <c r="B28" s="51"/>
      <c r="C28" s="53" t="s">
        <v>6</v>
      </c>
      <c r="D28" s="54"/>
      <c r="E28" s="45" t="s">
        <v>547</v>
      </c>
      <c r="F28" s="53"/>
      <c r="G28" s="53"/>
      <c r="H28" s="53"/>
    </row>
    <row r="29" spans="1:8" ht="14.25">
      <c r="A29" s="51"/>
      <c r="B29" s="51"/>
      <c r="C29" s="127"/>
      <c r="D29" s="54"/>
      <c r="E29" s="45"/>
      <c r="F29" s="53"/>
      <c r="G29" s="53"/>
      <c r="H29" s="53"/>
    </row>
    <row r="30" spans="1:8" ht="14.25">
      <c r="A30" s="51"/>
      <c r="B30" s="51"/>
      <c r="C30" s="53" t="s">
        <v>6</v>
      </c>
      <c r="D30" s="54"/>
      <c r="E30" s="45" t="s">
        <v>548</v>
      </c>
      <c r="F30" s="53"/>
      <c r="G30" s="53"/>
      <c r="H30" s="53"/>
    </row>
    <row r="31" spans="1:8" ht="14.25">
      <c r="A31" s="51"/>
      <c r="B31" s="51"/>
      <c r="C31" s="53"/>
      <c r="D31" s="54"/>
      <c r="E31" s="45"/>
      <c r="F31" s="53"/>
      <c r="G31" s="53"/>
      <c r="H31" s="53"/>
    </row>
    <row r="32" spans="1:8" ht="14.25">
      <c r="A32" s="51"/>
      <c r="B32" s="51"/>
      <c r="C32" s="53" t="s">
        <v>6</v>
      </c>
      <c r="D32" s="54"/>
      <c r="E32" s="45" t="s">
        <v>549</v>
      </c>
      <c r="F32" s="53"/>
      <c r="G32" s="53"/>
      <c r="H32" s="53"/>
    </row>
    <row r="33" spans="1:9" ht="14.25">
      <c r="A33" s="51"/>
      <c r="B33" s="51"/>
      <c r="C33" s="127"/>
      <c r="D33" s="54"/>
      <c r="E33" s="45"/>
      <c r="F33" s="53"/>
      <c r="G33" s="53"/>
      <c r="H33" s="53"/>
    </row>
    <row r="34" spans="1:9" ht="14.25">
      <c r="A34" s="51"/>
      <c r="B34" s="51"/>
      <c r="C34" s="53"/>
      <c r="D34" s="54"/>
      <c r="E34" s="45"/>
      <c r="F34" s="53"/>
      <c r="G34" s="53"/>
      <c r="H34" s="53"/>
    </row>
    <row r="35" spans="1:9" ht="14.25">
      <c r="A35" s="51"/>
      <c r="B35" s="51"/>
      <c r="C35" s="53"/>
      <c r="D35" s="54"/>
      <c r="E35" s="45"/>
      <c r="F35" s="53"/>
      <c r="G35" s="53"/>
      <c r="H35" s="53"/>
    </row>
    <row r="36" spans="1:9" ht="14.25">
      <c r="A36" s="51"/>
      <c r="B36" s="51"/>
      <c r="C36" s="53"/>
      <c r="D36" s="54"/>
      <c r="E36" s="45"/>
      <c r="F36" s="53"/>
      <c r="G36" s="53"/>
      <c r="H36" s="53"/>
    </row>
    <row r="37" spans="1:9" ht="14.25">
      <c r="A37" s="51"/>
      <c r="B37" s="51"/>
      <c r="C37" s="53" t="s">
        <v>7</v>
      </c>
      <c r="D37" s="54"/>
      <c r="E37" s="45" t="s">
        <v>554</v>
      </c>
      <c r="F37" s="45"/>
      <c r="G37" s="45"/>
      <c r="H37" s="45"/>
    </row>
    <row r="38" spans="1:9">
      <c r="A38" s="51"/>
      <c r="B38" s="51"/>
      <c r="C38" s="51"/>
      <c r="D38" s="54"/>
      <c r="E38" s="22"/>
      <c r="F38" s="22"/>
      <c r="G38" s="22"/>
      <c r="H38" s="22"/>
    </row>
    <row r="39" spans="1:9" ht="14.25">
      <c r="A39" s="51"/>
      <c r="B39" s="51"/>
      <c r="C39" s="53" t="s">
        <v>8</v>
      </c>
      <c r="D39" s="54"/>
      <c r="E39" s="753" t="s">
        <v>555</v>
      </c>
      <c r="F39" s="753"/>
      <c r="G39" s="45"/>
      <c r="H39" s="47" t="s">
        <v>9</v>
      </c>
      <c r="I39" s="23" t="s">
        <v>10</v>
      </c>
    </row>
    <row r="40" spans="1:9">
      <c r="A40" s="51"/>
      <c r="B40" s="51"/>
      <c r="C40" s="51"/>
      <c r="D40" s="54"/>
      <c r="E40" s="22"/>
      <c r="F40" s="22"/>
      <c r="G40" s="754"/>
      <c r="H40" s="754"/>
    </row>
    <row r="41" spans="1:9" ht="16.5">
      <c r="A41" s="51"/>
      <c r="B41" s="51"/>
      <c r="C41" s="53" t="s">
        <v>11</v>
      </c>
      <c r="D41" s="54"/>
      <c r="E41" s="753" t="s">
        <v>550</v>
      </c>
      <c r="F41" s="753"/>
      <c r="G41" s="746" t="s">
        <v>551</v>
      </c>
      <c r="H41" s="746"/>
    </row>
    <row r="42" spans="1:9">
      <c r="A42" s="51"/>
      <c r="B42" s="51"/>
      <c r="C42" s="51"/>
      <c r="D42" s="51"/>
      <c r="E42" s="22"/>
      <c r="G42" s="746" t="s">
        <v>552</v>
      </c>
      <c r="H42" s="746"/>
    </row>
    <row r="43" spans="1:9">
      <c r="A43" s="51"/>
      <c r="B43" s="51"/>
      <c r="C43" s="51"/>
      <c r="D43" s="51"/>
      <c r="E43" s="22"/>
      <c r="G43" s="746" t="s">
        <v>553</v>
      </c>
      <c r="H43" s="746"/>
    </row>
    <row r="44" spans="1:9" ht="14.25">
      <c r="A44" s="55"/>
      <c r="B44" s="51"/>
      <c r="C44" s="51"/>
      <c r="D44" s="51"/>
      <c r="E44" s="51"/>
      <c r="F44" s="51"/>
      <c r="G44" s="51"/>
      <c r="H44" s="51"/>
    </row>
    <row r="45" spans="1:9">
      <c r="A45" s="745" t="s">
        <v>12</v>
      </c>
      <c r="B45" s="745"/>
      <c r="C45" s="745"/>
      <c r="D45" s="745"/>
      <c r="E45" s="745"/>
      <c r="F45" s="745"/>
      <c r="G45" s="745"/>
      <c r="H45" s="745"/>
    </row>
    <row r="46" spans="1:9">
      <c r="A46" s="745"/>
      <c r="B46" s="745"/>
      <c r="C46" s="745"/>
      <c r="D46" s="745"/>
      <c r="E46" s="745"/>
      <c r="F46" s="745"/>
      <c r="G46" s="745"/>
      <c r="H46" s="745"/>
    </row>
    <row r="47" spans="1:9">
      <c r="A47" s="22"/>
      <c r="B47" s="22"/>
      <c r="C47" s="22"/>
      <c r="D47" s="22"/>
      <c r="E47" s="22"/>
      <c r="F47" s="22"/>
      <c r="G47" s="22"/>
      <c r="H47" s="22"/>
    </row>
    <row r="48" spans="1:9">
      <c r="A48" s="22"/>
      <c r="B48" s="22"/>
      <c r="C48" s="22"/>
      <c r="D48" s="22"/>
      <c r="E48" s="22"/>
      <c r="F48" s="22"/>
      <c r="G48" s="22"/>
      <c r="H48" s="22"/>
    </row>
    <row r="49" spans="1:11" s="28" customFormat="1" ht="14.25" hidden="1" customHeight="1">
      <c r="A49" s="743" t="s">
        <v>13</v>
      </c>
      <c r="B49" s="743"/>
      <c r="C49" s="743"/>
      <c r="D49" s="743"/>
      <c r="E49" s="743"/>
      <c r="F49" s="743"/>
      <c r="G49" s="743"/>
      <c r="H49" s="743"/>
      <c r="I49" s="27"/>
      <c r="J49" s="27"/>
      <c r="K49" s="27"/>
    </row>
    <row r="50" spans="1:11" s="28" customFormat="1" ht="14.25" hidden="1">
      <c r="A50" s="743" t="s">
        <v>14</v>
      </c>
      <c r="B50" s="743"/>
      <c r="C50" s="743"/>
      <c r="D50" s="743"/>
      <c r="E50" s="743"/>
      <c r="F50" s="743"/>
      <c r="G50" s="743"/>
      <c r="H50" s="743"/>
      <c r="I50" s="27"/>
      <c r="J50" s="27"/>
      <c r="K50" s="27"/>
    </row>
    <row r="51" spans="1:11" s="28" customFormat="1" ht="14.25" hidden="1">
      <c r="A51" s="743" t="s">
        <v>15</v>
      </c>
      <c r="B51" s="743"/>
      <c r="C51" s="743"/>
      <c r="D51" s="743"/>
      <c r="E51" s="743"/>
      <c r="F51" s="743"/>
      <c r="G51" s="743"/>
      <c r="H51" s="743"/>
      <c r="I51" s="27"/>
      <c r="J51" s="27"/>
      <c r="K51" s="27"/>
    </row>
    <row r="52" spans="1:11" s="28" customFormat="1" ht="6" hidden="1" customHeight="1">
      <c r="A52" s="29"/>
      <c r="B52" s="29"/>
      <c r="C52" s="29"/>
      <c r="D52" s="29"/>
      <c r="E52" s="29"/>
      <c r="F52" s="29"/>
      <c r="G52" s="29"/>
      <c r="H52" s="29"/>
    </row>
    <row r="53" spans="1:11" s="28" customFormat="1" ht="14.25" hidden="1">
      <c r="A53" s="743" t="s">
        <v>16</v>
      </c>
      <c r="B53" s="743"/>
      <c r="C53" s="743"/>
      <c r="D53" s="743"/>
      <c r="E53" s="743"/>
      <c r="F53" s="743"/>
      <c r="G53" s="743"/>
      <c r="H53" s="743"/>
    </row>
    <row r="54" spans="1:11" s="28" customFormat="1" ht="6" hidden="1" customHeight="1">
      <c r="A54" s="29"/>
      <c r="B54" s="29"/>
      <c r="C54" s="29"/>
      <c r="D54" s="29"/>
      <c r="E54" s="29"/>
      <c r="F54" s="29"/>
      <c r="G54" s="29"/>
      <c r="H54" s="29"/>
    </row>
    <row r="55" spans="1:11" s="28" customFormat="1" ht="29.25" hidden="1" customHeight="1">
      <c r="A55" s="743" t="s">
        <v>17</v>
      </c>
      <c r="B55" s="744"/>
      <c r="C55" s="744"/>
      <c r="D55" s="744"/>
      <c r="E55" s="744"/>
      <c r="F55" s="744"/>
      <c r="G55" s="744"/>
      <c r="H55" s="744"/>
      <c r="I55" s="744"/>
    </row>
    <row r="56" spans="1:11" s="28" customFormat="1" ht="39" hidden="1" customHeight="1">
      <c r="A56" s="743" t="s">
        <v>18</v>
      </c>
      <c r="B56" s="744"/>
      <c r="C56" s="744"/>
      <c r="D56" s="744"/>
      <c r="E56" s="744"/>
      <c r="F56" s="744"/>
      <c r="G56" s="744"/>
      <c r="H56" s="744"/>
      <c r="I56" s="744"/>
    </row>
    <row r="57" spans="1:11" s="28" customFormat="1" ht="45" hidden="1" customHeight="1">
      <c r="A57" s="743" t="s">
        <v>19</v>
      </c>
      <c r="B57" s="744"/>
      <c r="C57" s="744"/>
      <c r="D57" s="744"/>
      <c r="E57" s="744"/>
      <c r="F57" s="744"/>
      <c r="G57" s="744"/>
      <c r="H57" s="744"/>
      <c r="I57" s="744"/>
    </row>
    <row r="58" spans="1:11" s="28" customFormat="1" ht="50.25" hidden="1" customHeight="1">
      <c r="A58" s="743" t="s">
        <v>20</v>
      </c>
      <c r="B58" s="744"/>
      <c r="C58" s="744"/>
      <c r="D58" s="744"/>
      <c r="E58" s="744"/>
      <c r="F58" s="744"/>
      <c r="G58" s="744"/>
      <c r="H58" s="744"/>
      <c r="I58" s="744"/>
    </row>
    <row r="59" spans="1:11" s="28" customFormat="1" ht="48.75" hidden="1" customHeight="1">
      <c r="A59" s="743" t="s">
        <v>21</v>
      </c>
      <c r="B59" s="744"/>
      <c r="C59" s="744"/>
      <c r="D59" s="744"/>
      <c r="E59" s="744"/>
      <c r="F59" s="744"/>
      <c r="G59" s="744"/>
      <c r="H59" s="744"/>
      <c r="I59" s="744"/>
    </row>
  </sheetData>
  <mergeCells count="20">
    <mergeCell ref="G43:H43"/>
    <mergeCell ref="A4:H5"/>
    <mergeCell ref="A16:B16"/>
    <mergeCell ref="C16:H16"/>
    <mergeCell ref="A26:H26"/>
    <mergeCell ref="E39:F39"/>
    <mergeCell ref="G40:H40"/>
    <mergeCell ref="E41:F41"/>
    <mergeCell ref="G41:H41"/>
    <mergeCell ref="G42:H42"/>
    <mergeCell ref="A56:I56"/>
    <mergeCell ref="A57:I57"/>
    <mergeCell ref="A58:I58"/>
    <mergeCell ref="A59:I59"/>
    <mergeCell ref="A45:H46"/>
    <mergeCell ref="A49:H49"/>
    <mergeCell ref="A50:H50"/>
    <mergeCell ref="A51:H51"/>
    <mergeCell ref="A53:H53"/>
    <mergeCell ref="A55:I55"/>
  </mergeCells>
  <phoneticPr fontId="2" type="noConversion"/>
  <printOptions horizontalCentered="1"/>
  <pageMargins left="0.35433070866141736" right="0.35433070866141736" top="0.98425196850393704" bottom="0.98425196850393704" header="0.51181102362204722" footer="0.51181102362204722"/>
  <pageSetup paperSize="9" scale="86" orientation="portrait" r:id="rId1"/>
  <headerFooter alignWithMargins="0"/>
  <rowBreaks count="1" manualBreakCount="1">
    <brk id="47" max="7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46"/>
  <sheetViews>
    <sheetView showGridLines="0" view="pageBreakPreview" zoomScale="85" zoomScaleNormal="100" zoomScaleSheetLayoutView="85" workbookViewId="0">
      <selection activeCell="K21" sqref="K21"/>
    </sheetView>
  </sheetViews>
  <sheetFormatPr defaultRowHeight="13.5"/>
  <cols>
    <col min="1" max="1" width="11.75" style="31" customWidth="1"/>
    <col min="2" max="2" width="12.125" style="31" customWidth="1"/>
    <col min="3" max="6" width="21.75" style="31" customWidth="1"/>
    <col min="7" max="7" width="22.125" style="31" customWidth="1"/>
    <col min="8" max="8" width="6.375" style="31" customWidth="1"/>
    <col min="9" max="9" width="3.125" style="31" customWidth="1"/>
    <col min="10" max="10" width="24.5" style="31" customWidth="1"/>
    <col min="11" max="11" width="12" style="31" customWidth="1"/>
    <col min="12" max="12" width="30.875" style="31" customWidth="1"/>
    <col min="13" max="13" width="34.625" style="31" customWidth="1"/>
    <col min="14" max="14" width="15.5" style="31" customWidth="1"/>
    <col min="15" max="257" width="9" style="31"/>
    <col min="258" max="258" width="11.75" style="31" customWidth="1"/>
    <col min="259" max="259" width="12.125" style="31" customWidth="1"/>
    <col min="260" max="263" width="21.75" style="31" customWidth="1"/>
    <col min="264" max="513" width="9" style="31"/>
    <col min="514" max="514" width="11.75" style="31" customWidth="1"/>
    <col min="515" max="515" width="12.125" style="31" customWidth="1"/>
    <col min="516" max="519" width="21.75" style="31" customWidth="1"/>
    <col min="520" max="769" width="9" style="31"/>
    <col min="770" max="770" width="11.75" style="31" customWidth="1"/>
    <col min="771" max="771" width="12.125" style="31" customWidth="1"/>
    <col min="772" max="775" width="21.75" style="31" customWidth="1"/>
    <col min="776" max="1025" width="9" style="31"/>
    <col min="1026" max="1026" width="11.75" style="31" customWidth="1"/>
    <col min="1027" max="1027" width="12.125" style="31" customWidth="1"/>
    <col min="1028" max="1031" width="21.75" style="31" customWidth="1"/>
    <col min="1032" max="1281" width="9" style="31"/>
    <col min="1282" max="1282" width="11.75" style="31" customWidth="1"/>
    <col min="1283" max="1283" width="12.125" style="31" customWidth="1"/>
    <col min="1284" max="1287" width="21.75" style="31" customWidth="1"/>
    <col min="1288" max="1537" width="9" style="31"/>
    <col min="1538" max="1538" width="11.75" style="31" customWidth="1"/>
    <col min="1539" max="1539" width="12.125" style="31" customWidth="1"/>
    <col min="1540" max="1543" width="21.75" style="31" customWidth="1"/>
    <col min="1544" max="1793" width="9" style="31"/>
    <col min="1794" max="1794" width="11.75" style="31" customWidth="1"/>
    <col min="1795" max="1795" width="12.125" style="31" customWidth="1"/>
    <col min="1796" max="1799" width="21.75" style="31" customWidth="1"/>
    <col min="1800" max="2049" width="9" style="31"/>
    <col min="2050" max="2050" width="11.75" style="31" customWidth="1"/>
    <col min="2051" max="2051" width="12.125" style="31" customWidth="1"/>
    <col min="2052" max="2055" width="21.75" style="31" customWidth="1"/>
    <col min="2056" max="2305" width="9" style="31"/>
    <col min="2306" max="2306" width="11.75" style="31" customWidth="1"/>
    <col min="2307" max="2307" width="12.125" style="31" customWidth="1"/>
    <col min="2308" max="2311" width="21.75" style="31" customWidth="1"/>
    <col min="2312" max="2561" width="9" style="31"/>
    <col min="2562" max="2562" width="11.75" style="31" customWidth="1"/>
    <col min="2563" max="2563" width="12.125" style="31" customWidth="1"/>
    <col min="2564" max="2567" width="21.75" style="31" customWidth="1"/>
    <col min="2568" max="2817" width="9" style="31"/>
    <col min="2818" max="2818" width="11.75" style="31" customWidth="1"/>
    <col min="2819" max="2819" width="12.125" style="31" customWidth="1"/>
    <col min="2820" max="2823" width="21.75" style="31" customWidth="1"/>
    <col min="2824" max="3073" width="9" style="31"/>
    <col min="3074" max="3074" width="11.75" style="31" customWidth="1"/>
    <col min="3075" max="3075" width="12.125" style="31" customWidth="1"/>
    <col min="3076" max="3079" width="21.75" style="31" customWidth="1"/>
    <col min="3080" max="3329" width="9" style="31"/>
    <col min="3330" max="3330" width="11.75" style="31" customWidth="1"/>
    <col min="3331" max="3331" width="12.125" style="31" customWidth="1"/>
    <col min="3332" max="3335" width="21.75" style="31" customWidth="1"/>
    <col min="3336" max="3585" width="9" style="31"/>
    <col min="3586" max="3586" width="11.75" style="31" customWidth="1"/>
    <col min="3587" max="3587" width="12.125" style="31" customWidth="1"/>
    <col min="3588" max="3591" width="21.75" style="31" customWidth="1"/>
    <col min="3592" max="3841" width="9" style="31"/>
    <col min="3842" max="3842" width="11.75" style="31" customWidth="1"/>
    <col min="3843" max="3843" width="12.125" style="31" customWidth="1"/>
    <col min="3844" max="3847" width="21.75" style="31" customWidth="1"/>
    <col min="3848" max="4097" width="9" style="31"/>
    <col min="4098" max="4098" width="11.75" style="31" customWidth="1"/>
    <col min="4099" max="4099" width="12.125" style="31" customWidth="1"/>
    <col min="4100" max="4103" width="21.75" style="31" customWidth="1"/>
    <col min="4104" max="4353" width="9" style="31"/>
    <col min="4354" max="4354" width="11.75" style="31" customWidth="1"/>
    <col min="4355" max="4355" width="12.125" style="31" customWidth="1"/>
    <col min="4356" max="4359" width="21.75" style="31" customWidth="1"/>
    <col min="4360" max="4609" width="9" style="31"/>
    <col min="4610" max="4610" width="11.75" style="31" customWidth="1"/>
    <col min="4611" max="4611" width="12.125" style="31" customWidth="1"/>
    <col min="4612" max="4615" width="21.75" style="31" customWidth="1"/>
    <col min="4616" max="4865" width="9" style="31"/>
    <col min="4866" max="4866" width="11.75" style="31" customWidth="1"/>
    <col min="4867" max="4867" width="12.125" style="31" customWidth="1"/>
    <col min="4868" max="4871" width="21.75" style="31" customWidth="1"/>
    <col min="4872" max="5121" width="9" style="31"/>
    <col min="5122" max="5122" width="11.75" style="31" customWidth="1"/>
    <col min="5123" max="5123" width="12.125" style="31" customWidth="1"/>
    <col min="5124" max="5127" width="21.75" style="31" customWidth="1"/>
    <col min="5128" max="5377" width="9" style="31"/>
    <col min="5378" max="5378" width="11.75" style="31" customWidth="1"/>
    <col min="5379" max="5379" width="12.125" style="31" customWidth="1"/>
    <col min="5380" max="5383" width="21.75" style="31" customWidth="1"/>
    <col min="5384" max="5633" width="9" style="31"/>
    <col min="5634" max="5634" width="11.75" style="31" customWidth="1"/>
    <col min="5635" max="5635" width="12.125" style="31" customWidth="1"/>
    <col min="5636" max="5639" width="21.75" style="31" customWidth="1"/>
    <col min="5640" max="5889" width="9" style="31"/>
    <col min="5890" max="5890" width="11.75" style="31" customWidth="1"/>
    <col min="5891" max="5891" width="12.125" style="31" customWidth="1"/>
    <col min="5892" max="5895" width="21.75" style="31" customWidth="1"/>
    <col min="5896" max="6145" width="9" style="31"/>
    <col min="6146" max="6146" width="11.75" style="31" customWidth="1"/>
    <col min="6147" max="6147" width="12.125" style="31" customWidth="1"/>
    <col min="6148" max="6151" width="21.75" style="31" customWidth="1"/>
    <col min="6152" max="6401" width="9" style="31"/>
    <col min="6402" max="6402" width="11.75" style="31" customWidth="1"/>
    <col min="6403" max="6403" width="12.125" style="31" customWidth="1"/>
    <col min="6404" max="6407" width="21.75" style="31" customWidth="1"/>
    <col min="6408" max="6657" width="9" style="31"/>
    <col min="6658" max="6658" width="11.75" style="31" customWidth="1"/>
    <col min="6659" max="6659" width="12.125" style="31" customWidth="1"/>
    <col min="6660" max="6663" width="21.75" style="31" customWidth="1"/>
    <col min="6664" max="6913" width="9" style="31"/>
    <col min="6914" max="6914" width="11.75" style="31" customWidth="1"/>
    <col min="6915" max="6915" width="12.125" style="31" customWidth="1"/>
    <col min="6916" max="6919" width="21.75" style="31" customWidth="1"/>
    <col min="6920" max="7169" width="9" style="31"/>
    <col min="7170" max="7170" width="11.75" style="31" customWidth="1"/>
    <col min="7171" max="7171" width="12.125" style="31" customWidth="1"/>
    <col min="7172" max="7175" width="21.75" style="31" customWidth="1"/>
    <col min="7176" max="7425" width="9" style="31"/>
    <col min="7426" max="7426" width="11.75" style="31" customWidth="1"/>
    <col min="7427" max="7427" width="12.125" style="31" customWidth="1"/>
    <col min="7428" max="7431" width="21.75" style="31" customWidth="1"/>
    <col min="7432" max="7681" width="9" style="31"/>
    <col min="7682" max="7682" width="11.75" style="31" customWidth="1"/>
    <col min="7683" max="7683" width="12.125" style="31" customWidth="1"/>
    <col min="7684" max="7687" width="21.75" style="31" customWidth="1"/>
    <col min="7688" max="7937" width="9" style="31"/>
    <col min="7938" max="7938" width="11.75" style="31" customWidth="1"/>
    <col min="7939" max="7939" width="12.125" style="31" customWidth="1"/>
    <col min="7940" max="7943" width="21.75" style="31" customWidth="1"/>
    <col min="7944" max="8193" width="9" style="31"/>
    <col min="8194" max="8194" width="11.75" style="31" customWidth="1"/>
    <col min="8195" max="8195" width="12.125" style="31" customWidth="1"/>
    <col min="8196" max="8199" width="21.75" style="31" customWidth="1"/>
    <col min="8200" max="8449" width="9" style="31"/>
    <col min="8450" max="8450" width="11.75" style="31" customWidth="1"/>
    <col min="8451" max="8451" width="12.125" style="31" customWidth="1"/>
    <col min="8452" max="8455" width="21.75" style="31" customWidth="1"/>
    <col min="8456" max="8705" width="9" style="31"/>
    <col min="8706" max="8706" width="11.75" style="31" customWidth="1"/>
    <col min="8707" max="8707" width="12.125" style="31" customWidth="1"/>
    <col min="8708" max="8711" width="21.75" style="31" customWidth="1"/>
    <col min="8712" max="8961" width="9" style="31"/>
    <col min="8962" max="8962" width="11.75" style="31" customWidth="1"/>
    <col min="8963" max="8963" width="12.125" style="31" customWidth="1"/>
    <col min="8964" max="8967" width="21.75" style="31" customWidth="1"/>
    <col min="8968" max="9217" width="9" style="31"/>
    <col min="9218" max="9218" width="11.75" style="31" customWidth="1"/>
    <col min="9219" max="9219" width="12.125" style="31" customWidth="1"/>
    <col min="9220" max="9223" width="21.75" style="31" customWidth="1"/>
    <col min="9224" max="9473" width="9" style="31"/>
    <col min="9474" max="9474" width="11.75" style="31" customWidth="1"/>
    <col min="9475" max="9475" width="12.125" style="31" customWidth="1"/>
    <col min="9476" max="9479" width="21.75" style="31" customWidth="1"/>
    <col min="9480" max="9729" width="9" style="31"/>
    <col min="9730" max="9730" width="11.75" style="31" customWidth="1"/>
    <col min="9731" max="9731" width="12.125" style="31" customWidth="1"/>
    <col min="9732" max="9735" width="21.75" style="31" customWidth="1"/>
    <col min="9736" max="9985" width="9" style="31"/>
    <col min="9986" max="9986" width="11.75" style="31" customWidth="1"/>
    <col min="9987" max="9987" width="12.125" style="31" customWidth="1"/>
    <col min="9988" max="9991" width="21.75" style="31" customWidth="1"/>
    <col min="9992" max="10241" width="9" style="31"/>
    <col min="10242" max="10242" width="11.75" style="31" customWidth="1"/>
    <col min="10243" max="10243" width="12.125" style="31" customWidth="1"/>
    <col min="10244" max="10247" width="21.75" style="31" customWidth="1"/>
    <col min="10248" max="10497" width="9" style="31"/>
    <col min="10498" max="10498" width="11.75" style="31" customWidth="1"/>
    <col min="10499" max="10499" width="12.125" style="31" customWidth="1"/>
    <col min="10500" max="10503" width="21.75" style="31" customWidth="1"/>
    <col min="10504" max="10753" width="9" style="31"/>
    <col min="10754" max="10754" width="11.75" style="31" customWidth="1"/>
    <col min="10755" max="10755" width="12.125" style="31" customWidth="1"/>
    <col min="10756" max="10759" width="21.75" style="31" customWidth="1"/>
    <col min="10760" max="11009" width="9" style="31"/>
    <col min="11010" max="11010" width="11.75" style="31" customWidth="1"/>
    <col min="11011" max="11011" width="12.125" style="31" customWidth="1"/>
    <col min="11012" max="11015" width="21.75" style="31" customWidth="1"/>
    <col min="11016" max="11265" width="9" style="31"/>
    <col min="11266" max="11266" width="11.75" style="31" customWidth="1"/>
    <col min="11267" max="11267" width="12.125" style="31" customWidth="1"/>
    <col min="11268" max="11271" width="21.75" style="31" customWidth="1"/>
    <col min="11272" max="11521" width="9" style="31"/>
    <col min="11522" max="11522" width="11.75" style="31" customWidth="1"/>
    <col min="11523" max="11523" width="12.125" style="31" customWidth="1"/>
    <col min="11524" max="11527" width="21.75" style="31" customWidth="1"/>
    <col min="11528" max="11777" width="9" style="31"/>
    <col min="11778" max="11778" width="11.75" style="31" customWidth="1"/>
    <col min="11779" max="11779" width="12.125" style="31" customWidth="1"/>
    <col min="11780" max="11783" width="21.75" style="31" customWidth="1"/>
    <col min="11784" max="12033" width="9" style="31"/>
    <col min="12034" max="12034" width="11.75" style="31" customWidth="1"/>
    <col min="12035" max="12035" width="12.125" style="31" customWidth="1"/>
    <col min="12036" max="12039" width="21.75" style="31" customWidth="1"/>
    <col min="12040" max="12289" width="9" style="31"/>
    <col min="12290" max="12290" width="11.75" style="31" customWidth="1"/>
    <col min="12291" max="12291" width="12.125" style="31" customWidth="1"/>
    <col min="12292" max="12295" width="21.75" style="31" customWidth="1"/>
    <col min="12296" max="12545" width="9" style="31"/>
    <col min="12546" max="12546" width="11.75" style="31" customWidth="1"/>
    <col min="12547" max="12547" width="12.125" style="31" customWidth="1"/>
    <col min="12548" max="12551" width="21.75" style="31" customWidth="1"/>
    <col min="12552" max="12801" width="9" style="31"/>
    <col min="12802" max="12802" width="11.75" style="31" customWidth="1"/>
    <col min="12803" max="12803" width="12.125" style="31" customWidth="1"/>
    <col min="12804" max="12807" width="21.75" style="31" customWidth="1"/>
    <col min="12808" max="13057" width="9" style="31"/>
    <col min="13058" max="13058" width="11.75" style="31" customWidth="1"/>
    <col min="13059" max="13059" width="12.125" style="31" customWidth="1"/>
    <col min="13060" max="13063" width="21.75" style="31" customWidth="1"/>
    <col min="13064" max="13313" width="9" style="31"/>
    <col min="13314" max="13314" width="11.75" style="31" customWidth="1"/>
    <col min="13315" max="13315" width="12.125" style="31" customWidth="1"/>
    <col min="13316" max="13319" width="21.75" style="31" customWidth="1"/>
    <col min="13320" max="13569" width="9" style="31"/>
    <col min="13570" max="13570" width="11.75" style="31" customWidth="1"/>
    <col min="13571" max="13571" width="12.125" style="31" customWidth="1"/>
    <col min="13572" max="13575" width="21.75" style="31" customWidth="1"/>
    <col min="13576" max="13825" width="9" style="31"/>
    <col min="13826" max="13826" width="11.75" style="31" customWidth="1"/>
    <col min="13827" max="13827" width="12.125" style="31" customWidth="1"/>
    <col min="13828" max="13831" width="21.75" style="31" customWidth="1"/>
    <col min="13832" max="14081" width="9" style="31"/>
    <col min="14082" max="14082" width="11.75" style="31" customWidth="1"/>
    <col min="14083" max="14083" width="12.125" style="31" customWidth="1"/>
    <col min="14084" max="14087" width="21.75" style="31" customWidth="1"/>
    <col min="14088" max="14337" width="9" style="31"/>
    <col min="14338" max="14338" width="11.75" style="31" customWidth="1"/>
    <col min="14339" max="14339" width="12.125" style="31" customWidth="1"/>
    <col min="14340" max="14343" width="21.75" style="31" customWidth="1"/>
    <col min="14344" max="14593" width="9" style="31"/>
    <col min="14594" max="14594" width="11.75" style="31" customWidth="1"/>
    <col min="14595" max="14595" width="12.125" style="31" customWidth="1"/>
    <col min="14596" max="14599" width="21.75" style="31" customWidth="1"/>
    <col min="14600" max="14849" width="9" style="31"/>
    <col min="14850" max="14850" width="11.75" style="31" customWidth="1"/>
    <col min="14851" max="14851" width="12.125" style="31" customWidth="1"/>
    <col min="14852" max="14855" width="21.75" style="31" customWidth="1"/>
    <col min="14856" max="15105" width="9" style="31"/>
    <col min="15106" max="15106" width="11.75" style="31" customWidth="1"/>
    <col min="15107" max="15107" width="12.125" style="31" customWidth="1"/>
    <col min="15108" max="15111" width="21.75" style="31" customWidth="1"/>
    <col min="15112" max="15361" width="9" style="31"/>
    <col min="15362" max="15362" width="11.75" style="31" customWidth="1"/>
    <col min="15363" max="15363" width="12.125" style="31" customWidth="1"/>
    <col min="15364" max="15367" width="21.75" style="31" customWidth="1"/>
    <col min="15368" max="15617" width="9" style="31"/>
    <col min="15618" max="15618" width="11.75" style="31" customWidth="1"/>
    <col min="15619" max="15619" width="12.125" style="31" customWidth="1"/>
    <col min="15620" max="15623" width="21.75" style="31" customWidth="1"/>
    <col min="15624" max="15873" width="9" style="31"/>
    <col min="15874" max="15874" width="11.75" style="31" customWidth="1"/>
    <col min="15875" max="15875" width="12.125" style="31" customWidth="1"/>
    <col min="15876" max="15879" width="21.75" style="31" customWidth="1"/>
    <col min="15880" max="16129" width="9" style="31"/>
    <col min="16130" max="16130" width="11.75" style="31" customWidth="1"/>
    <col min="16131" max="16131" width="12.125" style="31" customWidth="1"/>
    <col min="16132" max="16135" width="21.75" style="31" customWidth="1"/>
    <col min="16136" max="16384" width="9" style="31"/>
  </cols>
  <sheetData>
    <row r="1" spans="1:14" ht="12" customHeight="1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4" ht="47.25" customHeight="1">
      <c r="A2" s="762">
        <f>참여신청서!C16</f>
        <v>0</v>
      </c>
      <c r="B2" s="762"/>
      <c r="C2" s="762"/>
      <c r="D2" s="762"/>
      <c r="E2" s="762"/>
      <c r="F2" s="762"/>
      <c r="G2" s="762"/>
      <c r="H2" s="128"/>
      <c r="I2" s="128"/>
      <c r="J2" s="128"/>
      <c r="K2" s="128"/>
      <c r="L2" s="128"/>
      <c r="M2" s="128"/>
    </row>
    <row r="3" spans="1:14" ht="27" customHeight="1" thickBot="1">
      <c r="A3" s="128"/>
      <c r="B3" s="129"/>
      <c r="C3" s="129"/>
      <c r="D3" s="129"/>
      <c r="E3" s="129"/>
      <c r="F3" s="128"/>
      <c r="G3" s="128"/>
      <c r="H3" s="128"/>
      <c r="I3" s="128"/>
      <c r="J3" s="130" t="s">
        <v>370</v>
      </c>
      <c r="K3" s="128"/>
      <c r="L3" s="128"/>
      <c r="M3" s="128"/>
    </row>
    <row r="4" spans="1:14" ht="36" customHeight="1" thickBot="1">
      <c r="A4" s="755" t="s">
        <v>32</v>
      </c>
      <c r="B4" s="756"/>
      <c r="C4" s="756"/>
      <c r="D4" s="131" t="s">
        <v>398</v>
      </c>
      <c r="E4" s="132" t="s">
        <v>561</v>
      </c>
      <c r="F4" s="131" t="s">
        <v>399</v>
      </c>
      <c r="G4" s="132" t="s">
        <v>562</v>
      </c>
      <c r="H4" s="128"/>
      <c r="I4" s="128"/>
      <c r="J4" s="133" t="s">
        <v>369</v>
      </c>
      <c r="K4" s="134" t="s">
        <v>365</v>
      </c>
      <c r="L4" s="135" t="s">
        <v>366</v>
      </c>
      <c r="M4" s="136" t="s">
        <v>375</v>
      </c>
      <c r="N4" s="56"/>
    </row>
    <row r="5" spans="1:14" ht="57.75" customHeight="1">
      <c r="A5" s="757" t="s">
        <v>23</v>
      </c>
      <c r="B5" s="137" t="s">
        <v>24</v>
      </c>
      <c r="C5" s="138" t="str">
        <f>참여신청서!E28</f>
        <v>A</v>
      </c>
      <c r="D5" s="139" t="str">
        <f>참여신청서!E30</f>
        <v>B</v>
      </c>
      <c r="E5" s="139" t="str">
        <f>참여신청서!E32</f>
        <v>C</v>
      </c>
      <c r="F5" s="139"/>
      <c r="G5" s="140"/>
      <c r="H5" s="128"/>
      <c r="I5" s="128"/>
      <c r="J5" s="141" t="s">
        <v>367</v>
      </c>
      <c r="K5" s="142" t="s">
        <v>556</v>
      </c>
      <c r="L5" s="143" t="s">
        <v>558</v>
      </c>
      <c r="M5" s="604" t="s">
        <v>559</v>
      </c>
      <c r="N5" s="56"/>
    </row>
    <row r="6" spans="1:14" ht="58.5" customHeight="1" thickBot="1">
      <c r="A6" s="758"/>
      <c r="B6" s="137" t="s">
        <v>25</v>
      </c>
      <c r="C6" s="144">
        <v>0.57999999999999996</v>
      </c>
      <c r="D6" s="144">
        <v>0.28000000000000003</v>
      </c>
      <c r="E6" s="144">
        <v>0.14000000000000001</v>
      </c>
      <c r="F6" s="144"/>
      <c r="G6" s="145"/>
      <c r="H6" s="146">
        <f>SUM(C6:G6)</f>
        <v>1</v>
      </c>
      <c r="I6" s="146"/>
      <c r="J6" s="147" t="s">
        <v>368</v>
      </c>
      <c r="K6" s="148" t="s">
        <v>557</v>
      </c>
      <c r="L6" s="143" t="s">
        <v>558</v>
      </c>
      <c r="M6" s="605" t="s">
        <v>560</v>
      </c>
      <c r="N6" s="56"/>
    </row>
    <row r="7" spans="1:14" ht="58.5" customHeight="1">
      <c r="A7" s="759"/>
      <c r="B7" s="149" t="s">
        <v>26</v>
      </c>
      <c r="C7" s="150" t="s">
        <v>516</v>
      </c>
      <c r="D7" s="150" t="s">
        <v>663</v>
      </c>
      <c r="E7" s="150" t="s">
        <v>664</v>
      </c>
      <c r="F7" s="144"/>
      <c r="G7" s="145"/>
      <c r="H7" s="128"/>
      <c r="I7" s="128"/>
      <c r="J7" s="151"/>
      <c r="K7" s="152" t="s">
        <v>406</v>
      </c>
      <c r="L7" s="151"/>
      <c r="M7" s="151"/>
      <c r="N7" s="56"/>
    </row>
    <row r="8" spans="1:14" ht="58.5" customHeight="1">
      <c r="A8" s="760" t="s">
        <v>27</v>
      </c>
      <c r="B8" s="137" t="s">
        <v>28</v>
      </c>
      <c r="C8" s="144"/>
      <c r="D8" s="144"/>
      <c r="E8" s="144"/>
      <c r="F8" s="144"/>
      <c r="G8" s="145"/>
      <c r="H8" s="128"/>
      <c r="I8" s="128"/>
      <c r="J8" s="722" t="s">
        <v>675</v>
      </c>
      <c r="K8" s="128"/>
      <c r="L8" s="128"/>
      <c r="M8" s="128"/>
    </row>
    <row r="9" spans="1:14" ht="58.5" customHeight="1">
      <c r="A9" s="760"/>
      <c r="B9" s="137" t="s">
        <v>29</v>
      </c>
      <c r="C9" s="144"/>
      <c r="D9" s="144"/>
      <c r="E9" s="144"/>
      <c r="F9" s="144"/>
      <c r="G9" s="145"/>
      <c r="H9" s="128"/>
      <c r="I9" s="128"/>
      <c r="J9" s="128"/>
      <c r="K9" s="128"/>
      <c r="L9" s="128"/>
      <c r="M9" s="128"/>
    </row>
    <row r="10" spans="1:14" ht="58.5" customHeight="1" thickBot="1">
      <c r="A10" s="761"/>
      <c r="B10" s="153" t="s">
        <v>26</v>
      </c>
      <c r="C10" s="154"/>
      <c r="D10" s="154"/>
      <c r="E10" s="154"/>
      <c r="F10" s="154"/>
      <c r="G10" s="155"/>
      <c r="H10" s="128"/>
      <c r="I10" s="128"/>
      <c r="J10" s="128"/>
      <c r="K10" s="128"/>
      <c r="L10" s="128"/>
      <c r="M10" s="128"/>
    </row>
    <row r="11" spans="1:14" s="32" customFormat="1" ht="20.100000000000001" customHeight="1">
      <c r="A11" s="408" t="s">
        <v>30</v>
      </c>
      <c r="B11" s="579"/>
      <c r="C11" s="579"/>
      <c r="D11" s="107"/>
      <c r="E11" s="107"/>
      <c r="F11" s="156"/>
      <c r="G11" s="156"/>
      <c r="H11" s="156"/>
      <c r="I11" s="156"/>
      <c r="J11" s="156"/>
      <c r="K11" s="156"/>
      <c r="L11" s="156"/>
      <c r="M11" s="156"/>
    </row>
    <row r="12" spans="1:14" ht="20.100000000000001" customHeight="1">
      <c r="A12" s="408" t="s">
        <v>31</v>
      </c>
      <c r="B12" s="580"/>
      <c r="C12" s="580"/>
      <c r="D12" s="157"/>
      <c r="E12" s="157"/>
      <c r="F12" s="128"/>
      <c r="G12" s="128"/>
      <c r="H12" s="128"/>
      <c r="I12" s="128"/>
      <c r="J12" s="128"/>
      <c r="K12" s="128"/>
      <c r="L12" s="128"/>
      <c r="M12" s="128"/>
    </row>
    <row r="13" spans="1:14" ht="20.100000000000001" customHeight="1">
      <c r="A13" s="408" t="s">
        <v>498</v>
      </c>
      <c r="B13" s="580"/>
      <c r="C13" s="580"/>
      <c r="D13" s="157"/>
      <c r="E13" s="157"/>
      <c r="F13" s="128"/>
      <c r="G13" s="128"/>
      <c r="H13" s="128"/>
      <c r="I13" s="128"/>
      <c r="J13" s="128"/>
      <c r="K13" s="128"/>
      <c r="L13" s="128"/>
      <c r="M13" s="128"/>
    </row>
    <row r="14" spans="1:14" ht="13.5" customHeight="1">
      <c r="B14" s="33"/>
      <c r="C14" s="33"/>
      <c r="D14" s="33"/>
      <c r="E14" s="33"/>
    </row>
    <row r="15" spans="1:14" ht="13.5" customHeight="1">
      <c r="B15" s="33"/>
      <c r="C15" s="33"/>
      <c r="D15" s="33"/>
      <c r="E15" s="33"/>
    </row>
    <row r="16" spans="1:14" ht="13.5" customHeight="1">
      <c r="B16" s="33"/>
      <c r="C16" s="33"/>
      <c r="D16" s="33"/>
      <c r="E16" s="33"/>
    </row>
    <row r="17" spans="2:5" ht="13.5" customHeight="1">
      <c r="B17" s="33"/>
      <c r="C17" s="33"/>
      <c r="D17" s="33"/>
      <c r="E17" s="33"/>
    </row>
    <row r="18" spans="2:5" ht="13.5" customHeight="1">
      <c r="B18" s="33"/>
      <c r="C18" s="33"/>
      <c r="D18" s="33"/>
      <c r="E18" s="33"/>
    </row>
    <row r="19" spans="2:5" ht="13.5" customHeight="1">
      <c r="B19" s="33"/>
      <c r="C19" s="33"/>
      <c r="D19" s="33"/>
      <c r="E19" s="33"/>
    </row>
    <row r="20" spans="2:5" ht="13.5" customHeight="1">
      <c r="B20" s="33"/>
      <c r="C20" s="33"/>
      <c r="D20" s="33"/>
      <c r="E20" s="33"/>
    </row>
    <row r="21" spans="2:5" ht="13.5" customHeight="1">
      <c r="B21" s="33"/>
      <c r="C21" s="33"/>
      <c r="D21" s="33"/>
      <c r="E21" s="33"/>
    </row>
    <row r="22" spans="2:5" ht="13.5" customHeight="1">
      <c r="B22" s="33"/>
      <c r="C22" s="33"/>
      <c r="D22" s="33"/>
      <c r="E22" s="33"/>
    </row>
    <row r="23" spans="2:5" ht="13.5" customHeight="1">
      <c r="B23" s="33"/>
      <c r="C23" s="33"/>
      <c r="D23" s="33"/>
      <c r="E23" s="33"/>
    </row>
    <row r="24" spans="2:5" ht="13.5" customHeight="1">
      <c r="B24" s="33"/>
      <c r="C24" s="33"/>
      <c r="D24" s="33"/>
      <c r="E24" s="33"/>
    </row>
    <row r="25" spans="2:5" ht="13.5" customHeight="1">
      <c r="B25" s="33"/>
      <c r="C25" s="33"/>
      <c r="D25" s="33"/>
      <c r="E25" s="33"/>
    </row>
    <row r="26" spans="2:5" ht="13.5" customHeight="1">
      <c r="B26" s="33"/>
      <c r="C26" s="33"/>
      <c r="D26" s="33"/>
      <c r="E26" s="33"/>
    </row>
    <row r="27" spans="2:5" ht="13.5" customHeight="1">
      <c r="B27" s="33"/>
      <c r="C27" s="33"/>
      <c r="D27" s="33"/>
      <c r="E27" s="33"/>
    </row>
    <row r="28" spans="2:5" ht="13.5" customHeight="1">
      <c r="B28" s="33"/>
      <c r="C28" s="33"/>
      <c r="D28" s="33"/>
      <c r="E28" s="33"/>
    </row>
    <row r="29" spans="2:5" ht="13.5" customHeight="1">
      <c r="B29" s="33"/>
      <c r="C29" s="33"/>
      <c r="D29" s="33"/>
      <c r="E29" s="33"/>
    </row>
    <row r="30" spans="2:5" ht="13.5" customHeight="1">
      <c r="B30" s="33"/>
      <c r="C30" s="33"/>
      <c r="D30" s="33"/>
      <c r="E30" s="33"/>
    </row>
    <row r="31" spans="2:5" ht="13.5" customHeight="1">
      <c r="B31" s="33"/>
      <c r="C31" s="33"/>
      <c r="D31" s="33"/>
      <c r="E31" s="33"/>
    </row>
    <row r="32" spans="2:5" ht="13.5" customHeight="1">
      <c r="B32" s="33"/>
      <c r="C32" s="33"/>
      <c r="D32" s="33"/>
      <c r="E32" s="33"/>
    </row>
    <row r="33" spans="2:5" ht="13.5" customHeight="1">
      <c r="B33" s="33"/>
      <c r="C33" s="33"/>
      <c r="D33" s="33"/>
      <c r="E33" s="33"/>
    </row>
    <row r="34" spans="2:5" ht="13.5" customHeight="1">
      <c r="B34" s="33"/>
      <c r="C34" s="33"/>
      <c r="D34" s="33"/>
      <c r="E34" s="33"/>
    </row>
    <row r="35" spans="2:5" ht="13.5" customHeight="1">
      <c r="B35" s="33"/>
      <c r="C35" s="33"/>
      <c r="D35" s="33"/>
      <c r="E35" s="33"/>
    </row>
    <row r="36" spans="2:5" ht="13.5" customHeight="1">
      <c r="B36" s="33"/>
      <c r="C36" s="33"/>
      <c r="D36" s="33"/>
      <c r="E36" s="33"/>
    </row>
    <row r="37" spans="2:5" ht="13.5" customHeight="1">
      <c r="B37" s="33"/>
      <c r="C37" s="33"/>
      <c r="D37" s="33"/>
      <c r="E37" s="33"/>
    </row>
    <row r="38" spans="2:5" ht="13.5" customHeight="1">
      <c r="B38" s="33"/>
      <c r="C38" s="33"/>
      <c r="D38" s="33"/>
      <c r="E38" s="33"/>
    </row>
    <row r="39" spans="2:5" ht="13.5" customHeight="1">
      <c r="B39" s="33"/>
      <c r="C39" s="33"/>
      <c r="D39" s="33"/>
      <c r="E39" s="33"/>
    </row>
    <row r="40" spans="2:5" ht="13.5" customHeight="1">
      <c r="B40" s="33"/>
      <c r="C40" s="33"/>
      <c r="D40" s="33"/>
      <c r="E40" s="33"/>
    </row>
    <row r="41" spans="2:5" ht="13.5" customHeight="1">
      <c r="B41" s="33"/>
      <c r="C41" s="33"/>
      <c r="D41" s="33"/>
      <c r="E41" s="33"/>
    </row>
    <row r="42" spans="2:5" ht="13.5" customHeight="1">
      <c r="B42" s="33"/>
      <c r="C42" s="33"/>
      <c r="D42" s="33"/>
      <c r="E42" s="33"/>
    </row>
    <row r="43" spans="2:5" ht="13.5" customHeight="1">
      <c r="B43" s="33"/>
      <c r="C43" s="33"/>
      <c r="D43" s="33"/>
      <c r="E43" s="33"/>
    </row>
    <row r="44" spans="2:5" ht="13.5" customHeight="1">
      <c r="B44" s="33"/>
      <c r="C44" s="33"/>
      <c r="D44" s="33"/>
      <c r="E44" s="33"/>
    </row>
    <row r="45" spans="2:5" ht="13.5" customHeight="1">
      <c r="B45" s="33"/>
      <c r="C45" s="33"/>
      <c r="D45" s="33"/>
      <c r="E45" s="33"/>
    </row>
    <row r="46" spans="2:5" ht="13.5" customHeight="1"/>
  </sheetData>
  <mergeCells count="4">
    <mergeCell ref="A4:C4"/>
    <mergeCell ref="A5:A7"/>
    <mergeCell ref="A8:A10"/>
    <mergeCell ref="A2:G2"/>
  </mergeCells>
  <phoneticPr fontId="2" type="noConversion"/>
  <hyperlinks>
    <hyperlink ref="M5" r:id="rId1"/>
    <hyperlink ref="M6" r:id="rId2"/>
  </hyperlinks>
  <printOptions horizontalCentered="1"/>
  <pageMargins left="0.74803149606299213" right="0.74803149606299213" top="0.98425196850393704" bottom="0.98425196850393704" header="0.51181102362204722" footer="0.51181102362204722"/>
  <pageSetup paperSize="9" scale="56" orientation="portrait" r:id="rId3"/>
  <headerFooter alignWithMargins="0"/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showGridLines="0" view="pageBreakPreview" zoomScale="85" zoomScaleNormal="100" zoomScaleSheetLayoutView="85" workbookViewId="0">
      <selection activeCell="F10" sqref="F10"/>
    </sheetView>
  </sheetViews>
  <sheetFormatPr defaultRowHeight="13.5"/>
  <cols>
    <col min="1" max="1" width="16.75" style="31" customWidth="1"/>
    <col min="2" max="2" width="12.125" style="31" customWidth="1"/>
    <col min="3" max="7" width="21.75" style="31" customWidth="1"/>
    <col min="8" max="8" width="22.125" style="31" customWidth="1"/>
    <col min="9" max="9" width="62.125" style="31" customWidth="1"/>
    <col min="10" max="11" width="21.25" style="31" customWidth="1"/>
    <col min="12" max="254" width="9" style="31"/>
    <col min="255" max="255" width="11.75" style="31" customWidth="1"/>
    <col min="256" max="256" width="12.125" style="31" customWidth="1"/>
    <col min="257" max="260" width="21.75" style="31" customWidth="1"/>
    <col min="261" max="510" width="9" style="31"/>
    <col min="511" max="511" width="11.75" style="31" customWidth="1"/>
    <col min="512" max="512" width="12.125" style="31" customWidth="1"/>
    <col min="513" max="516" width="21.75" style="31" customWidth="1"/>
    <col min="517" max="766" width="9" style="31"/>
    <col min="767" max="767" width="11.75" style="31" customWidth="1"/>
    <col min="768" max="768" width="12.125" style="31" customWidth="1"/>
    <col min="769" max="772" width="21.75" style="31" customWidth="1"/>
    <col min="773" max="1022" width="9" style="31"/>
    <col min="1023" max="1023" width="11.75" style="31" customWidth="1"/>
    <col min="1024" max="1024" width="12.125" style="31" customWidth="1"/>
    <col min="1025" max="1028" width="21.75" style="31" customWidth="1"/>
    <col min="1029" max="1278" width="9" style="31"/>
    <col min="1279" max="1279" width="11.75" style="31" customWidth="1"/>
    <col min="1280" max="1280" width="12.125" style="31" customWidth="1"/>
    <col min="1281" max="1284" width="21.75" style="31" customWidth="1"/>
    <col min="1285" max="1534" width="9" style="31"/>
    <col min="1535" max="1535" width="11.75" style="31" customWidth="1"/>
    <col min="1536" max="1536" width="12.125" style="31" customWidth="1"/>
    <col min="1537" max="1540" width="21.75" style="31" customWidth="1"/>
    <col min="1541" max="1790" width="9" style="31"/>
    <col min="1791" max="1791" width="11.75" style="31" customWidth="1"/>
    <col min="1792" max="1792" width="12.125" style="31" customWidth="1"/>
    <col min="1793" max="1796" width="21.75" style="31" customWidth="1"/>
    <col min="1797" max="2046" width="9" style="31"/>
    <col min="2047" max="2047" width="11.75" style="31" customWidth="1"/>
    <col min="2048" max="2048" width="12.125" style="31" customWidth="1"/>
    <col min="2049" max="2052" width="21.75" style="31" customWidth="1"/>
    <col min="2053" max="2302" width="9" style="31"/>
    <col min="2303" max="2303" width="11.75" style="31" customWidth="1"/>
    <col min="2304" max="2304" width="12.125" style="31" customWidth="1"/>
    <col min="2305" max="2308" width="21.75" style="31" customWidth="1"/>
    <col min="2309" max="2558" width="9" style="31"/>
    <col min="2559" max="2559" width="11.75" style="31" customWidth="1"/>
    <col min="2560" max="2560" width="12.125" style="31" customWidth="1"/>
    <col min="2561" max="2564" width="21.75" style="31" customWidth="1"/>
    <col min="2565" max="2814" width="9" style="31"/>
    <col min="2815" max="2815" width="11.75" style="31" customWidth="1"/>
    <col min="2816" max="2816" width="12.125" style="31" customWidth="1"/>
    <col min="2817" max="2820" width="21.75" style="31" customWidth="1"/>
    <col min="2821" max="3070" width="9" style="31"/>
    <col min="3071" max="3071" width="11.75" style="31" customWidth="1"/>
    <col min="3072" max="3072" width="12.125" style="31" customWidth="1"/>
    <col min="3073" max="3076" width="21.75" style="31" customWidth="1"/>
    <col min="3077" max="3326" width="9" style="31"/>
    <col min="3327" max="3327" width="11.75" style="31" customWidth="1"/>
    <col min="3328" max="3328" width="12.125" style="31" customWidth="1"/>
    <col min="3329" max="3332" width="21.75" style="31" customWidth="1"/>
    <col min="3333" max="3582" width="9" style="31"/>
    <col min="3583" max="3583" width="11.75" style="31" customWidth="1"/>
    <col min="3584" max="3584" width="12.125" style="31" customWidth="1"/>
    <col min="3585" max="3588" width="21.75" style="31" customWidth="1"/>
    <col min="3589" max="3838" width="9" style="31"/>
    <col min="3839" max="3839" width="11.75" style="31" customWidth="1"/>
    <col min="3840" max="3840" width="12.125" style="31" customWidth="1"/>
    <col min="3841" max="3844" width="21.75" style="31" customWidth="1"/>
    <col min="3845" max="4094" width="9" style="31"/>
    <col min="4095" max="4095" width="11.75" style="31" customWidth="1"/>
    <col min="4096" max="4096" width="12.125" style="31" customWidth="1"/>
    <col min="4097" max="4100" width="21.75" style="31" customWidth="1"/>
    <col min="4101" max="4350" width="9" style="31"/>
    <col min="4351" max="4351" width="11.75" style="31" customWidth="1"/>
    <col min="4352" max="4352" width="12.125" style="31" customWidth="1"/>
    <col min="4353" max="4356" width="21.75" style="31" customWidth="1"/>
    <col min="4357" max="4606" width="9" style="31"/>
    <col min="4607" max="4607" width="11.75" style="31" customWidth="1"/>
    <col min="4608" max="4608" width="12.125" style="31" customWidth="1"/>
    <col min="4609" max="4612" width="21.75" style="31" customWidth="1"/>
    <col min="4613" max="4862" width="9" style="31"/>
    <col min="4863" max="4863" width="11.75" style="31" customWidth="1"/>
    <col min="4864" max="4864" width="12.125" style="31" customWidth="1"/>
    <col min="4865" max="4868" width="21.75" style="31" customWidth="1"/>
    <col min="4869" max="5118" width="9" style="31"/>
    <col min="5119" max="5119" width="11.75" style="31" customWidth="1"/>
    <col min="5120" max="5120" width="12.125" style="31" customWidth="1"/>
    <col min="5121" max="5124" width="21.75" style="31" customWidth="1"/>
    <col min="5125" max="5374" width="9" style="31"/>
    <col min="5375" max="5375" width="11.75" style="31" customWidth="1"/>
    <col min="5376" max="5376" width="12.125" style="31" customWidth="1"/>
    <col min="5377" max="5380" width="21.75" style="31" customWidth="1"/>
    <col min="5381" max="5630" width="9" style="31"/>
    <col min="5631" max="5631" width="11.75" style="31" customWidth="1"/>
    <col min="5632" max="5632" width="12.125" style="31" customWidth="1"/>
    <col min="5633" max="5636" width="21.75" style="31" customWidth="1"/>
    <col min="5637" max="5886" width="9" style="31"/>
    <col min="5887" max="5887" width="11.75" style="31" customWidth="1"/>
    <col min="5888" max="5888" width="12.125" style="31" customWidth="1"/>
    <col min="5889" max="5892" width="21.75" style="31" customWidth="1"/>
    <col min="5893" max="6142" width="9" style="31"/>
    <col min="6143" max="6143" width="11.75" style="31" customWidth="1"/>
    <col min="6144" max="6144" width="12.125" style="31" customWidth="1"/>
    <col min="6145" max="6148" width="21.75" style="31" customWidth="1"/>
    <col min="6149" max="6398" width="9" style="31"/>
    <col min="6399" max="6399" width="11.75" style="31" customWidth="1"/>
    <col min="6400" max="6400" width="12.125" style="31" customWidth="1"/>
    <col min="6401" max="6404" width="21.75" style="31" customWidth="1"/>
    <col min="6405" max="6654" width="9" style="31"/>
    <col min="6655" max="6655" width="11.75" style="31" customWidth="1"/>
    <col min="6656" max="6656" width="12.125" style="31" customWidth="1"/>
    <col min="6657" max="6660" width="21.75" style="31" customWidth="1"/>
    <col min="6661" max="6910" width="9" style="31"/>
    <col min="6911" max="6911" width="11.75" style="31" customWidth="1"/>
    <col min="6912" max="6912" width="12.125" style="31" customWidth="1"/>
    <col min="6913" max="6916" width="21.75" style="31" customWidth="1"/>
    <col min="6917" max="7166" width="9" style="31"/>
    <col min="7167" max="7167" width="11.75" style="31" customWidth="1"/>
    <col min="7168" max="7168" width="12.125" style="31" customWidth="1"/>
    <col min="7169" max="7172" width="21.75" style="31" customWidth="1"/>
    <col min="7173" max="7422" width="9" style="31"/>
    <col min="7423" max="7423" width="11.75" style="31" customWidth="1"/>
    <col min="7424" max="7424" width="12.125" style="31" customWidth="1"/>
    <col min="7425" max="7428" width="21.75" style="31" customWidth="1"/>
    <col min="7429" max="7678" width="9" style="31"/>
    <col min="7679" max="7679" width="11.75" style="31" customWidth="1"/>
    <col min="7680" max="7680" width="12.125" style="31" customWidth="1"/>
    <col min="7681" max="7684" width="21.75" style="31" customWidth="1"/>
    <col min="7685" max="7934" width="9" style="31"/>
    <col min="7935" max="7935" width="11.75" style="31" customWidth="1"/>
    <col min="7936" max="7936" width="12.125" style="31" customWidth="1"/>
    <col min="7937" max="7940" width="21.75" style="31" customWidth="1"/>
    <col min="7941" max="8190" width="9" style="31"/>
    <col min="8191" max="8191" width="11.75" style="31" customWidth="1"/>
    <col min="8192" max="8192" width="12.125" style="31" customWidth="1"/>
    <col min="8193" max="8196" width="21.75" style="31" customWidth="1"/>
    <col min="8197" max="8446" width="9" style="31"/>
    <col min="8447" max="8447" width="11.75" style="31" customWidth="1"/>
    <col min="8448" max="8448" width="12.125" style="31" customWidth="1"/>
    <col min="8449" max="8452" width="21.75" style="31" customWidth="1"/>
    <col min="8453" max="8702" width="9" style="31"/>
    <col min="8703" max="8703" width="11.75" style="31" customWidth="1"/>
    <col min="8704" max="8704" width="12.125" style="31" customWidth="1"/>
    <col min="8705" max="8708" width="21.75" style="31" customWidth="1"/>
    <col min="8709" max="8958" width="9" style="31"/>
    <col min="8959" max="8959" width="11.75" style="31" customWidth="1"/>
    <col min="8960" max="8960" width="12.125" style="31" customWidth="1"/>
    <col min="8961" max="8964" width="21.75" style="31" customWidth="1"/>
    <col min="8965" max="9214" width="9" style="31"/>
    <col min="9215" max="9215" width="11.75" style="31" customWidth="1"/>
    <col min="9216" max="9216" width="12.125" style="31" customWidth="1"/>
    <col min="9217" max="9220" width="21.75" style="31" customWidth="1"/>
    <col min="9221" max="9470" width="9" style="31"/>
    <col min="9471" max="9471" width="11.75" style="31" customWidth="1"/>
    <col min="9472" max="9472" width="12.125" style="31" customWidth="1"/>
    <col min="9473" max="9476" width="21.75" style="31" customWidth="1"/>
    <col min="9477" max="9726" width="9" style="31"/>
    <col min="9727" max="9727" width="11.75" style="31" customWidth="1"/>
    <col min="9728" max="9728" width="12.125" style="31" customWidth="1"/>
    <col min="9729" max="9732" width="21.75" style="31" customWidth="1"/>
    <col min="9733" max="9982" width="9" style="31"/>
    <col min="9983" max="9983" width="11.75" style="31" customWidth="1"/>
    <col min="9984" max="9984" width="12.125" style="31" customWidth="1"/>
    <col min="9985" max="9988" width="21.75" style="31" customWidth="1"/>
    <col min="9989" max="10238" width="9" style="31"/>
    <col min="10239" max="10239" width="11.75" style="31" customWidth="1"/>
    <col min="10240" max="10240" width="12.125" style="31" customWidth="1"/>
    <col min="10241" max="10244" width="21.75" style="31" customWidth="1"/>
    <col min="10245" max="10494" width="9" style="31"/>
    <col min="10495" max="10495" width="11.75" style="31" customWidth="1"/>
    <col min="10496" max="10496" width="12.125" style="31" customWidth="1"/>
    <col min="10497" max="10500" width="21.75" style="31" customWidth="1"/>
    <col min="10501" max="10750" width="9" style="31"/>
    <col min="10751" max="10751" width="11.75" style="31" customWidth="1"/>
    <col min="10752" max="10752" width="12.125" style="31" customWidth="1"/>
    <col min="10753" max="10756" width="21.75" style="31" customWidth="1"/>
    <col min="10757" max="11006" width="9" style="31"/>
    <col min="11007" max="11007" width="11.75" style="31" customWidth="1"/>
    <col min="11008" max="11008" width="12.125" style="31" customWidth="1"/>
    <col min="11009" max="11012" width="21.75" style="31" customWidth="1"/>
    <col min="11013" max="11262" width="9" style="31"/>
    <col min="11263" max="11263" width="11.75" style="31" customWidth="1"/>
    <col min="11264" max="11264" width="12.125" style="31" customWidth="1"/>
    <col min="11265" max="11268" width="21.75" style="31" customWidth="1"/>
    <col min="11269" max="11518" width="9" style="31"/>
    <col min="11519" max="11519" width="11.75" style="31" customWidth="1"/>
    <col min="11520" max="11520" width="12.125" style="31" customWidth="1"/>
    <col min="11521" max="11524" width="21.75" style="31" customWidth="1"/>
    <col min="11525" max="11774" width="9" style="31"/>
    <col min="11775" max="11775" width="11.75" style="31" customWidth="1"/>
    <col min="11776" max="11776" width="12.125" style="31" customWidth="1"/>
    <col min="11777" max="11780" width="21.75" style="31" customWidth="1"/>
    <col min="11781" max="12030" width="9" style="31"/>
    <col min="12031" max="12031" width="11.75" style="31" customWidth="1"/>
    <col min="12032" max="12032" width="12.125" style="31" customWidth="1"/>
    <col min="12033" max="12036" width="21.75" style="31" customWidth="1"/>
    <col min="12037" max="12286" width="9" style="31"/>
    <col min="12287" max="12287" width="11.75" style="31" customWidth="1"/>
    <col min="12288" max="12288" width="12.125" style="31" customWidth="1"/>
    <col min="12289" max="12292" width="21.75" style="31" customWidth="1"/>
    <col min="12293" max="12542" width="9" style="31"/>
    <col min="12543" max="12543" width="11.75" style="31" customWidth="1"/>
    <col min="12544" max="12544" width="12.125" style="31" customWidth="1"/>
    <col min="12545" max="12548" width="21.75" style="31" customWidth="1"/>
    <col min="12549" max="12798" width="9" style="31"/>
    <col min="12799" max="12799" width="11.75" style="31" customWidth="1"/>
    <col min="12800" max="12800" width="12.125" style="31" customWidth="1"/>
    <col min="12801" max="12804" width="21.75" style="31" customWidth="1"/>
    <col min="12805" max="13054" width="9" style="31"/>
    <col min="13055" max="13055" width="11.75" style="31" customWidth="1"/>
    <col min="13056" max="13056" width="12.125" style="31" customWidth="1"/>
    <col min="13057" max="13060" width="21.75" style="31" customWidth="1"/>
    <col min="13061" max="13310" width="9" style="31"/>
    <col min="13311" max="13311" width="11.75" style="31" customWidth="1"/>
    <col min="13312" max="13312" width="12.125" style="31" customWidth="1"/>
    <col min="13313" max="13316" width="21.75" style="31" customWidth="1"/>
    <col min="13317" max="13566" width="9" style="31"/>
    <col min="13567" max="13567" width="11.75" style="31" customWidth="1"/>
    <col min="13568" max="13568" width="12.125" style="31" customWidth="1"/>
    <col min="13569" max="13572" width="21.75" style="31" customWidth="1"/>
    <col min="13573" max="13822" width="9" style="31"/>
    <col min="13823" max="13823" width="11.75" style="31" customWidth="1"/>
    <col min="13824" max="13824" width="12.125" style="31" customWidth="1"/>
    <col min="13825" max="13828" width="21.75" style="31" customWidth="1"/>
    <col min="13829" max="14078" width="9" style="31"/>
    <col min="14079" max="14079" width="11.75" style="31" customWidth="1"/>
    <col min="14080" max="14080" width="12.125" style="31" customWidth="1"/>
    <col min="14081" max="14084" width="21.75" style="31" customWidth="1"/>
    <col min="14085" max="14334" width="9" style="31"/>
    <col min="14335" max="14335" width="11.75" style="31" customWidth="1"/>
    <col min="14336" max="14336" width="12.125" style="31" customWidth="1"/>
    <col min="14337" max="14340" width="21.75" style="31" customWidth="1"/>
    <col min="14341" max="14590" width="9" style="31"/>
    <col min="14591" max="14591" width="11.75" style="31" customWidth="1"/>
    <col min="14592" max="14592" width="12.125" style="31" customWidth="1"/>
    <col min="14593" max="14596" width="21.75" style="31" customWidth="1"/>
    <col min="14597" max="14846" width="9" style="31"/>
    <col min="14847" max="14847" width="11.75" style="31" customWidth="1"/>
    <col min="14848" max="14848" width="12.125" style="31" customWidth="1"/>
    <col min="14849" max="14852" width="21.75" style="31" customWidth="1"/>
    <col min="14853" max="15102" width="9" style="31"/>
    <col min="15103" max="15103" width="11.75" style="31" customWidth="1"/>
    <col min="15104" max="15104" width="12.125" style="31" customWidth="1"/>
    <col min="15105" max="15108" width="21.75" style="31" customWidth="1"/>
    <col min="15109" max="15358" width="9" style="31"/>
    <col min="15359" max="15359" width="11.75" style="31" customWidth="1"/>
    <col min="15360" max="15360" width="12.125" style="31" customWidth="1"/>
    <col min="15361" max="15364" width="21.75" style="31" customWidth="1"/>
    <col min="15365" max="15614" width="9" style="31"/>
    <col min="15615" max="15615" width="11.75" style="31" customWidth="1"/>
    <col min="15616" max="15616" width="12.125" style="31" customWidth="1"/>
    <col min="15617" max="15620" width="21.75" style="31" customWidth="1"/>
    <col min="15621" max="15870" width="9" style="31"/>
    <col min="15871" max="15871" width="11.75" style="31" customWidth="1"/>
    <col min="15872" max="15872" width="12.125" style="31" customWidth="1"/>
    <col min="15873" max="15876" width="21.75" style="31" customWidth="1"/>
    <col min="15877" max="16126" width="9" style="31"/>
    <col min="16127" max="16127" width="11.75" style="31" customWidth="1"/>
    <col min="16128" max="16128" width="12.125" style="31" customWidth="1"/>
    <col min="16129" max="16132" width="21.75" style="31" customWidth="1"/>
    <col min="16133" max="16384" width="9" style="31"/>
  </cols>
  <sheetData>
    <row r="1" spans="1:11" ht="12" customHeight="1" thickBot="1">
      <c r="A1" s="128"/>
      <c r="B1" s="128"/>
      <c r="C1" s="128"/>
      <c r="D1" s="128"/>
      <c r="E1" s="128"/>
      <c r="F1" s="128"/>
      <c r="G1" s="128"/>
      <c r="H1" s="128"/>
      <c r="I1" s="128"/>
      <c r="J1" s="128"/>
    </row>
    <row r="2" spans="1:11" ht="47.25" customHeight="1" thickBot="1">
      <c r="A2" s="766">
        <f>참여신청서!C16</f>
        <v>0</v>
      </c>
      <c r="B2" s="767"/>
      <c r="C2" s="767"/>
      <c r="D2" s="767"/>
      <c r="E2" s="767"/>
      <c r="F2" s="767"/>
      <c r="G2" s="767"/>
      <c r="H2" s="768"/>
      <c r="I2" s="128"/>
      <c r="J2" s="128"/>
    </row>
    <row r="3" spans="1:11" ht="29.25" customHeight="1" thickBot="1">
      <c r="A3" s="776" t="s">
        <v>636</v>
      </c>
      <c r="B3" s="777"/>
      <c r="C3" s="777"/>
      <c r="D3" s="777"/>
      <c r="E3" s="777"/>
      <c r="F3" s="777"/>
      <c r="G3" s="777"/>
      <c r="H3" s="778"/>
      <c r="I3" s="763" t="s">
        <v>660</v>
      </c>
    </row>
    <row r="4" spans="1:11" ht="27" customHeight="1" thickBot="1">
      <c r="A4" s="128"/>
      <c r="B4" s="129"/>
      <c r="C4" s="129"/>
      <c r="D4" s="129"/>
      <c r="E4" s="129"/>
      <c r="F4" s="128"/>
      <c r="G4" s="128"/>
      <c r="H4" s="128"/>
      <c r="I4" s="763"/>
    </row>
    <row r="5" spans="1:11" ht="36" customHeight="1">
      <c r="A5" s="779" t="s">
        <v>662</v>
      </c>
      <c r="B5" s="781" t="s">
        <v>637</v>
      </c>
      <c r="C5" s="781" t="s">
        <v>638</v>
      </c>
      <c r="D5" s="769" t="s">
        <v>639</v>
      </c>
      <c r="E5" s="769" t="s">
        <v>640</v>
      </c>
      <c r="F5" s="783" t="s">
        <v>642</v>
      </c>
      <c r="G5" s="784"/>
      <c r="H5" s="764" t="s">
        <v>641</v>
      </c>
      <c r="I5" s="763"/>
    </row>
    <row r="6" spans="1:11" ht="36" customHeight="1" thickBot="1">
      <c r="A6" s="780"/>
      <c r="B6" s="782"/>
      <c r="C6" s="782"/>
      <c r="D6" s="770"/>
      <c r="E6" s="770"/>
      <c r="F6" s="717" t="s">
        <v>643</v>
      </c>
      <c r="G6" s="717" t="s">
        <v>644</v>
      </c>
      <c r="H6" s="765"/>
      <c r="I6" s="763"/>
    </row>
    <row r="7" spans="1:11" ht="57.75" customHeight="1" thickBot="1">
      <c r="A7" s="712" t="s">
        <v>645</v>
      </c>
      <c r="B7" s="671" t="s">
        <v>201</v>
      </c>
      <c r="C7" s="713">
        <f>((((G7-F7)/365)*12)*22)+1</f>
        <v>1320.276712328767</v>
      </c>
      <c r="D7" s="714">
        <f>C7*E7</f>
        <v>1320.276712328767</v>
      </c>
      <c r="E7" s="715">
        <v>1</v>
      </c>
      <c r="F7" s="716">
        <v>45757</v>
      </c>
      <c r="G7" s="716">
        <v>47581</v>
      </c>
      <c r="H7" s="674" t="s">
        <v>547</v>
      </c>
      <c r="I7" s="763"/>
    </row>
    <row r="8" spans="1:11" ht="58.5" customHeight="1">
      <c r="A8" s="698" t="s">
        <v>649</v>
      </c>
      <c r="B8" s="672" t="s">
        <v>300</v>
      </c>
      <c r="C8" s="691">
        <f t="shared" ref="C8:C12" si="0">((((G8-F8)/365)*12)*22)+1</f>
        <v>1320.276712328767</v>
      </c>
      <c r="D8" s="690">
        <f t="shared" ref="D8:D10" si="1">C8*E8</f>
        <v>933.43563561643816</v>
      </c>
      <c r="E8" s="676">
        <v>0.70699999999999996</v>
      </c>
      <c r="F8" s="677">
        <v>45757</v>
      </c>
      <c r="G8" s="677">
        <v>47581</v>
      </c>
      <c r="H8" s="675" t="s">
        <v>547</v>
      </c>
      <c r="I8" s="701"/>
      <c r="J8" s="702" t="s">
        <v>641</v>
      </c>
      <c r="K8" s="703" t="s">
        <v>661</v>
      </c>
    </row>
    <row r="9" spans="1:11" ht="58.5" customHeight="1">
      <c r="A9" s="697" t="s">
        <v>646</v>
      </c>
      <c r="B9" s="673" t="s">
        <v>300</v>
      </c>
      <c r="C9" s="691">
        <f t="shared" si="0"/>
        <v>761.17534246575349</v>
      </c>
      <c r="D9" s="690">
        <f t="shared" si="1"/>
        <v>538.15096712328773</v>
      </c>
      <c r="E9" s="676">
        <v>0.70699999999999996</v>
      </c>
      <c r="F9" s="677">
        <v>46530</v>
      </c>
      <c r="G9" s="677">
        <v>47581</v>
      </c>
      <c r="H9" s="675" t="s">
        <v>547</v>
      </c>
      <c r="I9" s="701"/>
      <c r="J9" s="707" t="s">
        <v>547</v>
      </c>
      <c r="K9" s="710">
        <f>((D7+D8+D9)/$D$13)*100</f>
        <v>58.631157917172338</v>
      </c>
    </row>
    <row r="10" spans="1:11" ht="58.5" customHeight="1">
      <c r="A10" s="697" t="s">
        <v>58</v>
      </c>
      <c r="B10" s="671" t="s">
        <v>201</v>
      </c>
      <c r="C10" s="691">
        <f t="shared" si="0"/>
        <v>1320.276712328767</v>
      </c>
      <c r="D10" s="690">
        <f t="shared" si="1"/>
        <v>1320.276712328767</v>
      </c>
      <c r="E10" s="676">
        <v>1</v>
      </c>
      <c r="F10" s="677">
        <v>45757</v>
      </c>
      <c r="G10" s="677">
        <v>47581</v>
      </c>
      <c r="H10" s="675" t="s">
        <v>548</v>
      </c>
      <c r="I10" s="701"/>
      <c r="J10" s="708" t="s">
        <v>548</v>
      </c>
      <c r="K10" s="710">
        <f>(D10/$D$13)*100</f>
        <v>27.726770145627267</v>
      </c>
    </row>
    <row r="11" spans="1:11" ht="58.5" customHeight="1" thickBot="1">
      <c r="A11" s="698" t="s">
        <v>647</v>
      </c>
      <c r="B11" s="671" t="s">
        <v>201</v>
      </c>
      <c r="C11" s="691">
        <f t="shared" si="0"/>
        <v>1320.276712328767</v>
      </c>
      <c r="D11" s="690">
        <v>324.8</v>
      </c>
      <c r="E11" s="676">
        <v>1</v>
      </c>
      <c r="F11" s="677">
        <v>45757</v>
      </c>
      <c r="G11" s="677">
        <v>47581</v>
      </c>
      <c r="H11" s="675" t="s">
        <v>549</v>
      </c>
      <c r="I11" s="701"/>
      <c r="J11" s="709" t="s">
        <v>549</v>
      </c>
      <c r="K11" s="710">
        <f>((D11+D12)/$D$13)*100</f>
        <v>13.642071937200395</v>
      </c>
    </row>
    <row r="12" spans="1:11" ht="58.5" customHeight="1" thickBot="1">
      <c r="A12" s="699" t="s">
        <v>648</v>
      </c>
      <c r="B12" s="692" t="s">
        <v>201</v>
      </c>
      <c r="C12" s="693">
        <f t="shared" si="0"/>
        <v>1320.276712328767</v>
      </c>
      <c r="D12" s="705">
        <v>324.8</v>
      </c>
      <c r="E12" s="694">
        <v>1</v>
      </c>
      <c r="F12" s="695">
        <v>45757</v>
      </c>
      <c r="G12" s="695">
        <v>47581</v>
      </c>
      <c r="H12" s="696" t="s">
        <v>549</v>
      </c>
      <c r="I12" s="701"/>
      <c r="J12" s="706" t="s">
        <v>304</v>
      </c>
      <c r="K12" s="711">
        <f>SUM(K9:K11)</f>
        <v>100</v>
      </c>
    </row>
    <row r="13" spans="1:11" ht="57.75" customHeight="1" thickBot="1">
      <c r="A13" s="771" t="s">
        <v>304</v>
      </c>
      <c r="B13" s="772"/>
      <c r="C13" s="700">
        <f>SUM(C7:C12)</f>
        <v>7362.5589041095882</v>
      </c>
      <c r="D13" s="704">
        <f>SUM(D7:D12)</f>
        <v>4761.7400273972598</v>
      </c>
      <c r="E13" s="773"/>
      <c r="F13" s="774"/>
      <c r="G13" s="774"/>
      <c r="H13" s="775"/>
      <c r="I13" s="701"/>
      <c r="J13" s="128"/>
    </row>
    <row r="14" spans="1:11" s="32" customFormat="1" ht="20.100000000000001" customHeight="1">
      <c r="A14" s="408"/>
      <c r="B14" s="579"/>
      <c r="C14" s="579"/>
      <c r="D14" s="107"/>
      <c r="E14" s="107"/>
      <c r="F14" s="156"/>
      <c r="G14" s="156"/>
      <c r="H14" s="156"/>
      <c r="I14" s="156"/>
      <c r="J14" s="156"/>
    </row>
    <row r="15" spans="1:11" ht="20.100000000000001" customHeight="1">
      <c r="A15" s="408"/>
      <c r="B15" s="580"/>
      <c r="C15" s="580"/>
      <c r="D15" s="157"/>
      <c r="E15" s="157"/>
      <c r="F15" s="128"/>
      <c r="G15" s="128"/>
      <c r="H15" s="128"/>
      <c r="I15" s="128"/>
      <c r="J15" s="128"/>
    </row>
    <row r="16" spans="1:11" ht="20.100000000000001" customHeight="1">
      <c r="A16" s="408"/>
      <c r="B16" s="580"/>
      <c r="C16" s="580"/>
      <c r="D16" s="157"/>
      <c r="E16" s="157"/>
      <c r="F16" s="128"/>
      <c r="G16" s="128"/>
      <c r="H16" s="128"/>
      <c r="I16" s="128"/>
      <c r="J16" s="128"/>
    </row>
    <row r="17" spans="2:5" ht="13.5" customHeight="1">
      <c r="B17" s="33"/>
      <c r="C17" s="33"/>
      <c r="D17" s="33"/>
      <c r="E17" s="33"/>
    </row>
    <row r="18" spans="2:5" ht="13.5" customHeight="1">
      <c r="B18" s="33"/>
      <c r="C18" s="33"/>
      <c r="D18" s="33"/>
      <c r="E18" s="33"/>
    </row>
    <row r="19" spans="2:5" ht="13.5" customHeight="1">
      <c r="B19" s="33"/>
      <c r="C19" s="33"/>
      <c r="D19" s="33"/>
      <c r="E19" s="33"/>
    </row>
    <row r="20" spans="2:5" ht="13.5" customHeight="1">
      <c r="B20" s="33"/>
      <c r="C20" s="33"/>
      <c r="D20" s="33"/>
      <c r="E20" s="33"/>
    </row>
    <row r="21" spans="2:5" ht="13.5" customHeight="1">
      <c r="B21" s="33"/>
      <c r="C21" s="33"/>
      <c r="D21" s="33"/>
      <c r="E21" s="33"/>
    </row>
    <row r="22" spans="2:5" ht="13.5" customHeight="1">
      <c r="B22" s="33"/>
      <c r="C22" s="33"/>
      <c r="D22" s="33"/>
      <c r="E22" s="33"/>
    </row>
    <row r="23" spans="2:5" ht="13.5" customHeight="1">
      <c r="B23" s="33"/>
      <c r="C23" s="33"/>
      <c r="D23" s="33"/>
      <c r="E23" s="33"/>
    </row>
    <row r="24" spans="2:5" ht="13.5" customHeight="1">
      <c r="B24" s="33"/>
      <c r="C24" s="33"/>
      <c r="D24" s="33"/>
      <c r="E24" s="33"/>
    </row>
    <row r="25" spans="2:5" ht="13.5" customHeight="1">
      <c r="B25" s="33"/>
      <c r="C25" s="33"/>
      <c r="D25" s="33"/>
      <c r="E25" s="33"/>
    </row>
    <row r="26" spans="2:5" ht="13.5" customHeight="1">
      <c r="B26" s="33"/>
      <c r="C26" s="33"/>
      <c r="D26" s="33"/>
      <c r="E26" s="33"/>
    </row>
    <row r="27" spans="2:5" ht="13.5" customHeight="1">
      <c r="B27" s="33"/>
      <c r="C27" s="33"/>
      <c r="D27" s="33"/>
      <c r="E27" s="33"/>
    </row>
    <row r="28" spans="2:5" ht="13.5" customHeight="1">
      <c r="B28" s="33"/>
      <c r="C28" s="33"/>
      <c r="D28" s="33"/>
      <c r="E28" s="33"/>
    </row>
    <row r="29" spans="2:5" ht="13.5" customHeight="1">
      <c r="B29" s="33"/>
      <c r="C29" s="33"/>
      <c r="D29" s="33"/>
      <c r="E29" s="33"/>
    </row>
    <row r="30" spans="2:5" ht="13.5" customHeight="1">
      <c r="B30" s="33"/>
      <c r="C30" s="33"/>
      <c r="D30" s="33"/>
      <c r="E30" s="33"/>
    </row>
    <row r="31" spans="2:5" ht="13.5" customHeight="1">
      <c r="B31" s="33"/>
      <c r="C31" s="33"/>
      <c r="D31" s="33"/>
      <c r="E31" s="33"/>
    </row>
    <row r="32" spans="2:5" ht="13.5" customHeight="1">
      <c r="B32" s="33"/>
      <c r="C32" s="33"/>
      <c r="D32" s="33"/>
      <c r="E32" s="33"/>
    </row>
    <row r="33" spans="2:5" ht="13.5" customHeight="1">
      <c r="B33" s="33"/>
      <c r="C33" s="33"/>
      <c r="D33" s="33"/>
      <c r="E33" s="33"/>
    </row>
    <row r="34" spans="2:5" ht="13.5" customHeight="1">
      <c r="B34" s="33"/>
      <c r="C34" s="33"/>
      <c r="D34" s="33"/>
      <c r="E34" s="33"/>
    </row>
    <row r="35" spans="2:5" ht="13.5" customHeight="1">
      <c r="B35" s="33"/>
      <c r="C35" s="33"/>
      <c r="D35" s="33"/>
      <c r="E35" s="33"/>
    </row>
    <row r="36" spans="2:5" ht="13.5" customHeight="1">
      <c r="B36" s="33"/>
      <c r="C36" s="33"/>
      <c r="D36" s="33"/>
      <c r="E36" s="33"/>
    </row>
    <row r="37" spans="2:5" ht="13.5" customHeight="1">
      <c r="B37" s="33"/>
      <c r="C37" s="33"/>
      <c r="D37" s="33"/>
      <c r="E37" s="33"/>
    </row>
    <row r="38" spans="2:5" ht="13.5" customHeight="1">
      <c r="B38" s="33"/>
      <c r="C38" s="33"/>
      <c r="D38" s="33"/>
      <c r="E38" s="33"/>
    </row>
    <row r="39" spans="2:5" ht="13.5" customHeight="1">
      <c r="B39" s="33"/>
      <c r="C39" s="33"/>
      <c r="D39" s="33"/>
      <c r="E39" s="33"/>
    </row>
    <row r="40" spans="2:5" ht="13.5" customHeight="1">
      <c r="B40" s="33"/>
      <c r="C40" s="33"/>
      <c r="D40" s="33"/>
      <c r="E40" s="33"/>
    </row>
    <row r="41" spans="2:5" ht="13.5" customHeight="1">
      <c r="B41" s="33"/>
      <c r="C41" s="33"/>
      <c r="D41" s="33"/>
      <c r="E41" s="33"/>
    </row>
    <row r="42" spans="2:5" ht="13.5" customHeight="1">
      <c r="B42" s="33"/>
      <c r="C42" s="33"/>
      <c r="D42" s="33"/>
      <c r="E42" s="33"/>
    </row>
    <row r="43" spans="2:5" ht="13.5" customHeight="1">
      <c r="B43" s="33"/>
      <c r="C43" s="33"/>
      <c r="D43" s="33"/>
      <c r="E43" s="33"/>
    </row>
    <row r="44" spans="2:5" ht="13.5" customHeight="1">
      <c r="B44" s="33"/>
      <c r="C44" s="33"/>
      <c r="D44" s="33"/>
      <c r="E44" s="33"/>
    </row>
    <row r="45" spans="2:5" ht="13.5" customHeight="1">
      <c r="B45" s="33"/>
      <c r="C45" s="33"/>
      <c r="D45" s="33"/>
      <c r="E45" s="33"/>
    </row>
    <row r="46" spans="2:5" ht="13.5" customHeight="1">
      <c r="B46" s="33"/>
      <c r="C46" s="33"/>
      <c r="D46" s="33"/>
      <c r="E46" s="33"/>
    </row>
    <row r="47" spans="2:5" ht="13.5" customHeight="1">
      <c r="B47" s="33"/>
      <c r="C47" s="33"/>
      <c r="D47" s="33"/>
      <c r="E47" s="33"/>
    </row>
    <row r="48" spans="2:5" ht="13.5" customHeight="1">
      <c r="B48" s="33"/>
      <c r="C48" s="33"/>
      <c r="D48" s="33"/>
      <c r="E48" s="33"/>
    </row>
    <row r="49" ht="13.5" customHeight="1"/>
  </sheetData>
  <mergeCells count="12">
    <mergeCell ref="I3:I7"/>
    <mergeCell ref="H5:H6"/>
    <mergeCell ref="A2:H2"/>
    <mergeCell ref="D5:D6"/>
    <mergeCell ref="A13:B13"/>
    <mergeCell ref="E13:H13"/>
    <mergeCell ref="A3:H3"/>
    <mergeCell ref="A5:A6"/>
    <mergeCell ref="B5:B6"/>
    <mergeCell ref="C5:C6"/>
    <mergeCell ref="E5:E6"/>
    <mergeCell ref="F5:G5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47" orientation="portrait" r:id="rId1"/>
  <headerFooter alignWithMargins="0"/>
  <rowBreaks count="1" manualBreakCount="1">
    <brk id="2" max="8" man="1"/>
  </rowBreaks>
  <colBreaks count="1" manualBreakCount="1">
    <brk id="8" max="1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T42"/>
  <sheetViews>
    <sheetView showGridLines="0" view="pageBreakPreview" topLeftCell="A24" zoomScaleNormal="100" zoomScaleSheetLayoutView="100" workbookViewId="0">
      <selection activeCell="K10" sqref="K10:K15"/>
    </sheetView>
  </sheetViews>
  <sheetFormatPr defaultRowHeight="16.5"/>
  <cols>
    <col min="1" max="1" width="13.75" style="73" customWidth="1"/>
    <col min="2" max="2" width="7.875" style="73" customWidth="1"/>
    <col min="3" max="3" width="12.375" style="73" customWidth="1"/>
    <col min="4" max="4" width="16.125" style="73" customWidth="1"/>
    <col min="5" max="5" width="16.625" style="73" customWidth="1"/>
    <col min="6" max="6" width="14.25" style="73" customWidth="1"/>
    <col min="7" max="7" width="19.125" style="73" customWidth="1"/>
    <col min="8" max="8" width="9.75" style="73" bestFit="1" customWidth="1"/>
    <col min="9" max="9" width="13.875" style="96" customWidth="1"/>
    <col min="10" max="10" width="15.25" style="96" customWidth="1"/>
    <col min="11" max="11" width="31.875" customWidth="1"/>
    <col min="12" max="12" width="12.375" customWidth="1"/>
    <col min="13" max="13" width="10.375" customWidth="1"/>
    <col min="19" max="19" width="22.75" customWidth="1"/>
  </cols>
  <sheetData>
    <row r="1" spans="1:20" ht="48.75" customHeight="1">
      <c r="A1" s="838" t="str">
        <f>참여신청서!C16&amp;" 종합기술제안서 정량부분"</f>
        <v xml:space="preserve"> 종합기술제안서 정량부분</v>
      </c>
      <c r="B1" s="838"/>
      <c r="C1" s="838"/>
      <c r="D1" s="838"/>
      <c r="E1" s="838"/>
      <c r="F1" s="838"/>
      <c r="G1" s="838"/>
      <c r="H1" s="838"/>
      <c r="I1" s="838"/>
      <c r="J1" s="838"/>
      <c r="K1" s="838"/>
      <c r="L1" s="445"/>
      <c r="M1" s="445"/>
      <c r="N1" s="445"/>
      <c r="O1" s="445"/>
    </row>
    <row r="2" spans="1:20">
      <c r="A2" s="819" t="str">
        <f>참여업체!C5</f>
        <v>A</v>
      </c>
      <c r="B2" s="819"/>
      <c r="C2" s="819"/>
      <c r="D2" s="71">
        <f>참여업체!C6</f>
        <v>0.57999999999999996</v>
      </c>
      <c r="E2" s="72"/>
      <c r="F2" s="72"/>
      <c r="G2" s="72"/>
      <c r="H2" s="58"/>
      <c r="I2" s="80"/>
      <c r="J2" s="80"/>
      <c r="K2" s="99" t="s">
        <v>382</v>
      </c>
      <c r="M2" s="115"/>
      <c r="N2" s="77"/>
      <c r="O2" s="77"/>
      <c r="P2" s="77"/>
      <c r="Q2" s="77"/>
      <c r="R2" s="77"/>
      <c r="S2" s="77"/>
    </row>
    <row r="3" spans="1:20" ht="18.75">
      <c r="A3" s="819" t="str">
        <f>참여업체!D5</f>
        <v>B</v>
      </c>
      <c r="B3" s="819"/>
      <c r="C3" s="819"/>
      <c r="D3" s="71">
        <f>참여업체!D6</f>
        <v>0.28000000000000003</v>
      </c>
      <c r="E3" s="72"/>
      <c r="F3" s="72"/>
      <c r="G3" s="72"/>
      <c r="I3" s="830" t="s">
        <v>33</v>
      </c>
      <c r="J3" s="831"/>
      <c r="K3" s="59">
        <v>123</v>
      </c>
      <c r="M3" s="77"/>
      <c r="N3" s="77"/>
      <c r="O3" s="77"/>
      <c r="P3" s="77"/>
      <c r="Q3" s="77"/>
      <c r="R3" s="77"/>
      <c r="S3" s="77"/>
    </row>
    <row r="4" spans="1:20">
      <c r="A4" s="819" t="str">
        <f>참여업체!E5</f>
        <v>C</v>
      </c>
      <c r="B4" s="819"/>
      <c r="C4" s="819"/>
      <c r="D4" s="71">
        <f>참여업체!E6</f>
        <v>0.14000000000000001</v>
      </c>
      <c r="E4" s="72"/>
      <c r="F4" s="72"/>
      <c r="G4" s="72"/>
      <c r="I4" s="832" t="s">
        <v>34</v>
      </c>
      <c r="J4" s="833"/>
      <c r="K4" s="818">
        <f>참여신청서!A26</f>
        <v>45972</v>
      </c>
      <c r="M4" s="77"/>
      <c r="N4" s="77"/>
      <c r="O4" s="77"/>
      <c r="P4" s="77"/>
      <c r="Q4" s="77"/>
      <c r="R4" s="77"/>
      <c r="S4" s="77"/>
    </row>
    <row r="5" spans="1:20">
      <c r="A5" s="819">
        <f>참여업체!F5</f>
        <v>0</v>
      </c>
      <c r="B5" s="819"/>
      <c r="C5" s="819"/>
      <c r="D5" s="71">
        <f>참여업체!F6</f>
        <v>0</v>
      </c>
      <c r="E5" s="72"/>
      <c r="F5" s="72"/>
      <c r="G5" s="72"/>
      <c r="I5" s="834"/>
      <c r="J5" s="835"/>
      <c r="K5" s="818"/>
      <c r="M5" s="77"/>
      <c r="N5" s="77"/>
      <c r="O5" s="77"/>
      <c r="P5" s="77"/>
      <c r="Q5" s="77"/>
      <c r="R5" s="77"/>
      <c r="S5" s="77"/>
    </row>
    <row r="6" spans="1:20">
      <c r="A6" s="819">
        <f>참여업체!G5</f>
        <v>0</v>
      </c>
      <c r="B6" s="819"/>
      <c r="C6" s="819"/>
      <c r="D6" s="71">
        <f>참여업체!G6</f>
        <v>0</v>
      </c>
      <c r="E6" s="72"/>
      <c r="F6" s="72"/>
      <c r="G6" s="72"/>
      <c r="H6" s="78"/>
      <c r="I6" s="80"/>
      <c r="J6" s="80"/>
      <c r="K6" s="60"/>
      <c r="L6" s="785"/>
      <c r="M6" s="77"/>
    </row>
    <row r="7" spans="1:20">
      <c r="E7" s="72"/>
      <c r="F7" s="72"/>
      <c r="G7" s="72"/>
      <c r="H7" s="74"/>
      <c r="I7" s="80"/>
      <c r="J7" s="80"/>
      <c r="K7" s="57"/>
      <c r="L7" s="785"/>
    </row>
    <row r="8" spans="1:20" ht="26.25">
      <c r="A8" s="82" t="s">
        <v>36</v>
      </c>
      <c r="B8" s="803" t="s">
        <v>37</v>
      </c>
      <c r="C8" s="803"/>
      <c r="D8" s="803" t="s">
        <v>38</v>
      </c>
      <c r="E8" s="803"/>
      <c r="F8" s="803" t="s">
        <v>39</v>
      </c>
      <c r="G8" s="803"/>
      <c r="H8" s="82" t="s">
        <v>40</v>
      </c>
      <c r="I8" s="84" t="s">
        <v>41</v>
      </c>
      <c r="J8" s="84" t="s">
        <v>42</v>
      </c>
      <c r="K8" s="459" t="s">
        <v>43</v>
      </c>
      <c r="L8" s="445"/>
      <c r="M8" s="445"/>
      <c r="N8" s="445"/>
      <c r="S8" s="445"/>
      <c r="T8" s="445"/>
    </row>
    <row r="9" spans="1:20" ht="34.5" customHeight="1">
      <c r="A9" s="820" t="s">
        <v>451</v>
      </c>
      <c r="B9" s="789" t="s">
        <v>623</v>
      </c>
      <c r="C9" s="790"/>
      <c r="D9" s="822" t="s">
        <v>377</v>
      </c>
      <c r="E9" s="68" t="s">
        <v>439</v>
      </c>
      <c r="F9" s="69">
        <v>0</v>
      </c>
      <c r="G9" s="824">
        <f>SUM(F9*0.2,F10*0.2)</f>
        <v>0</v>
      </c>
      <c r="H9" s="826">
        <v>7</v>
      </c>
      <c r="I9" s="810">
        <v>7</v>
      </c>
      <c r="J9" s="813">
        <f>H15-SUM(G9:G13)+G14</f>
        <v>7</v>
      </c>
      <c r="K9" s="461" t="s">
        <v>481</v>
      </c>
      <c r="L9" s="115"/>
      <c r="M9" s="77"/>
      <c r="N9" s="77"/>
      <c r="O9" s="77"/>
      <c r="P9" s="77"/>
      <c r="Q9" s="77"/>
      <c r="R9" s="77"/>
      <c r="S9" s="115"/>
      <c r="T9" s="77"/>
    </row>
    <row r="10" spans="1:20" ht="20.100000000000001" customHeight="1">
      <c r="A10" s="820"/>
      <c r="B10" s="791"/>
      <c r="C10" s="792"/>
      <c r="D10" s="823"/>
      <c r="E10" s="67" t="s">
        <v>371</v>
      </c>
      <c r="F10" s="69">
        <v>0</v>
      </c>
      <c r="G10" s="825"/>
      <c r="H10" s="827"/>
      <c r="I10" s="811"/>
      <c r="J10" s="814"/>
      <c r="K10" s="809" t="s">
        <v>482</v>
      </c>
      <c r="L10" s="77"/>
      <c r="M10" s="77"/>
      <c r="N10" s="77"/>
      <c r="O10" s="77"/>
      <c r="P10" s="77"/>
      <c r="Q10" s="77"/>
      <c r="R10" s="77"/>
      <c r="S10" s="77"/>
      <c r="T10" s="77"/>
    </row>
    <row r="11" spans="1:20" ht="39.950000000000003" customHeight="1">
      <c r="A11" s="820"/>
      <c r="B11" s="791"/>
      <c r="C11" s="792"/>
      <c r="D11" s="816" t="s">
        <v>621</v>
      </c>
      <c r="E11" s="817"/>
      <c r="F11" s="70">
        <v>0</v>
      </c>
      <c r="G11" s="75">
        <f>IF(AND(F11&gt;0,F11&lt;0.5),1,IF(AND(F11&gt;=0.5,F11&lt;1),2,IF(AND(F11&gt;=1,F11&lt;2),4,IF(AND(F11&gt;=2,F11&lt;5),6,IF(AND(F11&gt;=5,F11&lt;10),8,IF(AND(F11&gt;=10,F11&lt;15),12,IF(AND(F11&gt;=15,F11&lt;20),12,IF(F11&gt;=20,14,0))))))))</f>
        <v>0</v>
      </c>
      <c r="H11" s="827"/>
      <c r="I11" s="811"/>
      <c r="J11" s="814"/>
      <c r="K11" s="809"/>
      <c r="L11" s="77"/>
      <c r="M11" s="77"/>
      <c r="N11" s="77"/>
      <c r="O11" s="77"/>
      <c r="P11" s="77"/>
      <c r="Q11" s="77"/>
      <c r="R11" s="77"/>
      <c r="S11" s="77"/>
      <c r="T11" s="77"/>
    </row>
    <row r="12" spans="1:20" ht="39.950000000000003" customHeight="1">
      <c r="A12" s="820"/>
      <c r="B12" s="791"/>
      <c r="C12" s="792"/>
      <c r="D12" s="804" t="s">
        <v>376</v>
      </c>
      <c r="E12" s="805"/>
      <c r="F12" s="76">
        <v>0</v>
      </c>
      <c r="G12" s="75">
        <f>F12*3</f>
        <v>0</v>
      </c>
      <c r="H12" s="827"/>
      <c r="I12" s="811"/>
      <c r="J12" s="814"/>
      <c r="K12" s="809"/>
      <c r="L12" s="77"/>
      <c r="M12" s="77"/>
      <c r="N12" s="77"/>
      <c r="O12" s="77"/>
      <c r="P12" s="77"/>
      <c r="Q12" s="77"/>
      <c r="R12" s="77"/>
      <c r="S12" s="77"/>
      <c r="T12" s="77"/>
    </row>
    <row r="13" spans="1:20" ht="39.950000000000003" customHeight="1">
      <c r="A13" s="820"/>
      <c r="B13" s="791"/>
      <c r="C13" s="792"/>
      <c r="D13" s="807" t="s">
        <v>478</v>
      </c>
      <c r="E13" s="458" t="s">
        <v>479</v>
      </c>
      <c r="F13" s="76">
        <v>0</v>
      </c>
      <c r="G13" s="75">
        <f>F13*3</f>
        <v>0</v>
      </c>
      <c r="H13" s="827"/>
      <c r="I13" s="811"/>
      <c r="J13" s="814"/>
      <c r="K13" s="809"/>
      <c r="L13" s="445"/>
      <c r="M13" s="445"/>
      <c r="N13" s="445"/>
      <c r="S13" s="445"/>
      <c r="T13" s="445"/>
    </row>
    <row r="14" spans="1:20" ht="40.5" customHeight="1">
      <c r="A14" s="820"/>
      <c r="B14" s="791"/>
      <c r="C14" s="792"/>
      <c r="D14" s="808"/>
      <c r="E14" s="458" t="s">
        <v>480</v>
      </c>
      <c r="F14" s="76">
        <v>0</v>
      </c>
      <c r="G14" s="460">
        <f>F14*3</f>
        <v>0</v>
      </c>
      <c r="H14" s="828"/>
      <c r="I14" s="812"/>
      <c r="J14" s="815"/>
      <c r="K14" s="809"/>
      <c r="L14" s="115"/>
      <c r="M14" s="77"/>
      <c r="N14" s="77"/>
      <c r="O14" s="77"/>
      <c r="P14" s="77"/>
      <c r="Q14" s="77"/>
      <c r="R14" s="77"/>
      <c r="S14" s="115"/>
      <c r="T14" s="77"/>
    </row>
    <row r="15" spans="1:20" ht="23.25" customHeight="1">
      <c r="A15" s="820"/>
      <c r="B15" s="791"/>
      <c r="C15" s="792"/>
      <c r="D15" s="806" t="s">
        <v>125</v>
      </c>
      <c r="E15" s="806"/>
      <c r="F15" s="806"/>
      <c r="G15" s="806"/>
      <c r="H15" s="582">
        <v>7</v>
      </c>
      <c r="I15" s="581">
        <f>I9</f>
        <v>7</v>
      </c>
      <c r="J15" s="581">
        <f>J9</f>
        <v>7</v>
      </c>
      <c r="K15" s="809"/>
      <c r="L15" s="77"/>
      <c r="M15" s="77"/>
      <c r="N15" s="77"/>
      <c r="O15" s="77"/>
      <c r="P15" s="77"/>
      <c r="Q15" s="77"/>
      <c r="R15" s="77"/>
      <c r="S15" s="77"/>
      <c r="T15" s="77"/>
    </row>
    <row r="16" spans="1:20" ht="16.5" customHeight="1">
      <c r="A16" s="820"/>
      <c r="B16" s="791"/>
      <c r="C16" s="792"/>
      <c r="D16" s="826" t="s">
        <v>44</v>
      </c>
      <c r="E16" s="829" t="str">
        <f>A2</f>
        <v>A</v>
      </c>
      <c r="F16" s="829"/>
      <c r="G16" s="61" t="s">
        <v>532</v>
      </c>
      <c r="H16" s="114">
        <f>$H$21*D2</f>
        <v>1.7399999999999998</v>
      </c>
      <c r="I16" s="85">
        <v>1.2</v>
      </c>
      <c r="J16" s="86">
        <f>IF(G16="","",D2*IF(OR(G16="AAA",G16="AA+",G16="AA0",G16="AA-",G16="A+",G16="A0",G16="A-",G16="BBB+",G16="BBB0",G16="BBB-"),3,IF(OR(G16="BB+",G16="BB0",G16="BB-",G16="B+",G16="B0",G16="B-"),2,0)))</f>
        <v>1.7399999999999998</v>
      </c>
      <c r="K16" s="844" t="s">
        <v>483</v>
      </c>
    </row>
    <row r="17" spans="1:19">
      <c r="A17" s="820"/>
      <c r="B17" s="791"/>
      <c r="C17" s="792"/>
      <c r="D17" s="827"/>
      <c r="E17" s="829" t="str">
        <f>A3</f>
        <v>B</v>
      </c>
      <c r="F17" s="829"/>
      <c r="G17" s="61" t="s">
        <v>532</v>
      </c>
      <c r="H17" s="660">
        <f>$H$21*D3</f>
        <v>0.84000000000000008</v>
      </c>
      <c r="I17" s="85">
        <v>0.9</v>
      </c>
      <c r="J17" s="86">
        <f>IF(G17="","",D3*IF(OR(G17="AAA",G17="AA+",G17="AA0",G17="AA-",G17="A+",G17="A0",G17="A-",G17="BBB+",G17="BBB0",G17="BBB-"),3,IF(OR(G17="BB+",G17="BB0",G17="BB-",G17="B+",G17="B0",G17="B-"),2,0)))</f>
        <v>0.84000000000000008</v>
      </c>
      <c r="K17" s="845"/>
    </row>
    <row r="18" spans="1:19">
      <c r="A18" s="820"/>
      <c r="B18" s="791"/>
      <c r="C18" s="792"/>
      <c r="D18" s="827"/>
      <c r="E18" s="829" t="str">
        <f>A4</f>
        <v>C</v>
      </c>
      <c r="F18" s="829"/>
      <c r="G18" s="61" t="s">
        <v>533</v>
      </c>
      <c r="H18" s="114">
        <f>$H$21*D4</f>
        <v>0.42000000000000004</v>
      </c>
      <c r="I18" s="85">
        <v>0.9</v>
      </c>
      <c r="J18" s="86">
        <f t="shared" ref="J18" si="0">IF(G18="","",D4*IF(OR(G18="AAA",G18="AA+",G18="AA0",G18="AA-",G18="A+",G18="A0",G18="A-",G18="BBB+",G18="BBB0",G18="BBB-"),3,IF(OR(G18="BB+",G18="BB0",G18="BB-",G18="B+",G18="B0",G18="B-"),2,0)))</f>
        <v>0.42000000000000004</v>
      </c>
      <c r="K18" s="845"/>
      <c r="M18" s="97"/>
      <c r="N18" s="97"/>
      <c r="O18" s="97"/>
      <c r="P18" s="97"/>
      <c r="Q18" s="97"/>
      <c r="R18" s="97"/>
      <c r="S18" s="97"/>
    </row>
    <row r="19" spans="1:19" ht="16.5" hidden="1" customHeight="1">
      <c r="A19" s="820"/>
      <c r="B19" s="791"/>
      <c r="C19" s="792"/>
      <c r="D19" s="827"/>
      <c r="E19" s="829">
        <f>A5</f>
        <v>0</v>
      </c>
      <c r="F19" s="829"/>
      <c r="G19" s="61" t="s">
        <v>460</v>
      </c>
      <c r="H19" s="114">
        <f>$H$21*D5</f>
        <v>0</v>
      </c>
      <c r="I19" s="85"/>
      <c r="J19" s="86">
        <f t="shared" ref="J19:J20" si="1">IF(G19="","",D5*IF(OR(G19="AAA",G19="AA+",G19="AA0",G19="AA-",G19="A+",G19="A0",G19="A-",G19="BBB+",G19="BBB0",G19="BBB-"),2,IF(OR(G19="BB+",G19="BB0",G19="BB-",G19="B+",G19="B0",G19="B-"),5/3,3/3)))</f>
        <v>0</v>
      </c>
      <c r="K19" s="845"/>
      <c r="M19" s="97"/>
      <c r="N19" s="97"/>
      <c r="O19" s="97"/>
      <c r="P19" s="97"/>
      <c r="Q19" s="97"/>
      <c r="R19" s="97"/>
      <c r="S19" s="97"/>
    </row>
    <row r="20" spans="1:19" ht="16.5" hidden="1" customHeight="1">
      <c r="A20" s="820"/>
      <c r="B20" s="791"/>
      <c r="C20" s="792"/>
      <c r="D20" s="828"/>
      <c r="E20" s="829">
        <f>A6</f>
        <v>0</v>
      </c>
      <c r="F20" s="829"/>
      <c r="G20" s="61" t="s">
        <v>459</v>
      </c>
      <c r="H20" s="114">
        <f>$H$21*D6</f>
        <v>0</v>
      </c>
      <c r="I20" s="85"/>
      <c r="J20" s="86">
        <f t="shared" si="1"/>
        <v>0</v>
      </c>
      <c r="K20" s="845"/>
      <c r="M20" s="97"/>
      <c r="N20" s="97"/>
      <c r="O20" s="97"/>
      <c r="P20" s="97"/>
      <c r="Q20" s="97"/>
      <c r="R20" s="97"/>
      <c r="S20" s="97"/>
    </row>
    <row r="21" spans="1:19" ht="21.75" customHeight="1">
      <c r="A21" s="820"/>
      <c r="B21" s="793"/>
      <c r="C21" s="794"/>
      <c r="D21" s="806" t="s">
        <v>303</v>
      </c>
      <c r="E21" s="806"/>
      <c r="F21" s="806"/>
      <c r="G21" s="806"/>
      <c r="H21" s="582">
        <v>3</v>
      </c>
      <c r="I21" s="581">
        <f>SUM(I16:I20)</f>
        <v>3</v>
      </c>
      <c r="J21" s="581">
        <f>SUM(J16:J20)</f>
        <v>3</v>
      </c>
      <c r="K21" s="846"/>
      <c r="M21" s="97"/>
      <c r="N21" s="97"/>
      <c r="O21" s="97"/>
      <c r="P21" s="97"/>
      <c r="Q21" s="97"/>
      <c r="R21" s="97"/>
      <c r="S21" s="97"/>
    </row>
    <row r="22" spans="1:19" ht="53.25" customHeight="1">
      <c r="A22" s="820"/>
      <c r="B22" s="847" t="s">
        <v>624</v>
      </c>
      <c r="C22" s="848"/>
      <c r="D22" s="849" t="s">
        <v>565</v>
      </c>
      <c r="E22" s="850"/>
      <c r="F22" s="850"/>
      <c r="G22" s="851"/>
      <c r="H22" s="596">
        <v>5</v>
      </c>
      <c r="I22" s="85">
        <v>5</v>
      </c>
      <c r="J22" s="86">
        <f>I22</f>
        <v>5</v>
      </c>
      <c r="K22" s="598" t="s">
        <v>499</v>
      </c>
      <c r="M22" s="97"/>
      <c r="N22" s="97"/>
      <c r="O22" s="97"/>
      <c r="P22" s="97"/>
      <c r="Q22" s="97"/>
      <c r="R22" s="97"/>
      <c r="S22" s="97"/>
    </row>
    <row r="23" spans="1:19" ht="42" customHeight="1">
      <c r="A23" s="820"/>
      <c r="B23" s="847" t="s">
        <v>625</v>
      </c>
      <c r="C23" s="848"/>
      <c r="D23" s="849" t="s">
        <v>566</v>
      </c>
      <c r="E23" s="850"/>
      <c r="F23" s="850"/>
      <c r="G23" s="851"/>
      <c r="H23" s="596">
        <v>5</v>
      </c>
      <c r="I23" s="85">
        <v>5</v>
      </c>
      <c r="J23" s="86">
        <f>I23</f>
        <v>5</v>
      </c>
      <c r="K23" s="598" t="s">
        <v>499</v>
      </c>
      <c r="M23" s="97"/>
      <c r="N23" s="97"/>
      <c r="O23" s="97"/>
      <c r="P23" s="97"/>
      <c r="Q23" s="97"/>
      <c r="R23" s="97"/>
      <c r="S23" s="97"/>
    </row>
    <row r="24" spans="1:19" ht="23.25" customHeight="1" thickBot="1">
      <c r="A24" s="821"/>
      <c r="B24" s="842" t="s">
        <v>66</v>
      </c>
      <c r="C24" s="843"/>
      <c r="D24" s="843"/>
      <c r="E24" s="843"/>
      <c r="F24" s="843"/>
      <c r="G24" s="843"/>
      <c r="H24" s="633">
        <f>H15+H21+H22+H23</f>
        <v>20</v>
      </c>
      <c r="I24" s="599">
        <f t="shared" ref="I24" si="2">I15+I21+I22+I23</f>
        <v>20</v>
      </c>
      <c r="J24" s="599">
        <f>J15+J21+J22+J23</f>
        <v>20</v>
      </c>
      <c r="K24" s="597"/>
      <c r="M24" s="97"/>
      <c r="N24" s="97"/>
      <c r="O24" s="97"/>
      <c r="P24" s="97"/>
      <c r="Q24" s="97"/>
      <c r="R24" s="97"/>
      <c r="S24" s="97"/>
    </row>
    <row r="25" spans="1:19" ht="111.75" customHeight="1">
      <c r="A25" s="786" t="s">
        <v>452</v>
      </c>
      <c r="B25" s="797" t="s">
        <v>563</v>
      </c>
      <c r="C25" s="798"/>
      <c r="D25" s="801" t="s">
        <v>486</v>
      </c>
      <c r="E25" s="801"/>
      <c r="F25" s="801"/>
      <c r="G25" s="652" t="s">
        <v>580</v>
      </c>
      <c r="H25" s="653">
        <v>15</v>
      </c>
      <c r="I25" s="654">
        <v>13</v>
      </c>
      <c r="J25" s="655">
        <f>'2-1 용역평가결과'!F10</f>
        <v>13</v>
      </c>
      <c r="K25" s="795" t="s">
        <v>484</v>
      </c>
      <c r="M25" s="97"/>
      <c r="N25" s="97"/>
      <c r="O25" s="97"/>
      <c r="P25" s="97"/>
      <c r="Q25" s="97"/>
      <c r="R25" s="97"/>
      <c r="S25" s="97"/>
    </row>
    <row r="26" spans="1:19" ht="111.75" customHeight="1" thickBot="1">
      <c r="A26" s="787"/>
      <c r="B26" s="799"/>
      <c r="C26" s="800"/>
      <c r="D26" s="802"/>
      <c r="E26" s="802"/>
      <c r="F26" s="802"/>
      <c r="G26" s="652" t="s">
        <v>581</v>
      </c>
      <c r="H26" s="653">
        <v>15</v>
      </c>
      <c r="I26" s="654">
        <v>7</v>
      </c>
      <c r="J26" s="655">
        <f>'2-1 용역평가결과'!G10</f>
        <v>0.7</v>
      </c>
      <c r="K26" s="796"/>
      <c r="M26" s="97"/>
      <c r="N26" s="97"/>
      <c r="O26" s="97"/>
      <c r="P26" s="97"/>
      <c r="Q26" s="97"/>
      <c r="R26" s="97"/>
      <c r="S26" s="97"/>
    </row>
    <row r="27" spans="1:19" ht="45" customHeight="1">
      <c r="A27" s="787"/>
      <c r="B27" s="789" t="s">
        <v>622</v>
      </c>
      <c r="C27" s="790"/>
      <c r="D27" s="804" t="s">
        <v>374</v>
      </c>
      <c r="E27" s="805"/>
      <c r="F27" s="839">
        <f>'2-2 기술개발 및 투자실적'!H5*10</f>
        <v>1.3765333333333336</v>
      </c>
      <c r="G27" s="839"/>
      <c r="H27" s="114">
        <v>8</v>
      </c>
      <c r="I27" s="85">
        <v>8</v>
      </c>
      <c r="J27" s="87">
        <f>IF(F27&gt;=8,8,F27)</f>
        <v>1.3765333333333336</v>
      </c>
      <c r="K27" s="650" t="s">
        <v>485</v>
      </c>
    </row>
    <row r="28" spans="1:19" ht="45" customHeight="1">
      <c r="A28" s="787"/>
      <c r="B28" s="791"/>
      <c r="C28" s="792"/>
      <c r="D28" s="852" t="s">
        <v>373</v>
      </c>
      <c r="E28" s="852"/>
      <c r="F28" s="853">
        <f>'2-2 기술개발 및 투자실적'!J4</f>
        <v>0</v>
      </c>
      <c r="G28" s="853"/>
      <c r="H28" s="627">
        <v>7</v>
      </c>
      <c r="I28" s="85">
        <v>7</v>
      </c>
      <c r="J28" s="87">
        <f>IF(F28="","",IF(F28&gt;=1.5%,7*0.8,IF(AND(F28&lt;1.5%,F28&gt;=1.25%),6.8*0.8,IF(AND(F28&lt;1.25%,F28&gt;=1%),6.6*0.8,IF(AND(F28&lt;1%,F28&gt;=0.75%),6.4*0.8,IF(AND(F28&lt;0.75%,F28&gt;=0.5%),6.2*0.8,6*0.8))))))</f>
        <v>4.8000000000000007</v>
      </c>
      <c r="K28" s="651"/>
    </row>
    <row r="29" spans="1:19" ht="45" customHeight="1">
      <c r="A29" s="787"/>
      <c r="B29" s="793"/>
      <c r="C29" s="794"/>
      <c r="D29" s="840" t="s">
        <v>564</v>
      </c>
      <c r="E29" s="840"/>
      <c r="F29" s="841">
        <v>10</v>
      </c>
      <c r="G29" s="841"/>
      <c r="H29" s="114">
        <v>10</v>
      </c>
      <c r="I29" s="85">
        <v>10</v>
      </c>
      <c r="J29" s="87">
        <v>10</v>
      </c>
      <c r="K29" s="651"/>
    </row>
    <row r="30" spans="1:19" ht="45" customHeight="1">
      <c r="A30" s="787"/>
      <c r="B30" s="847" t="s">
        <v>567</v>
      </c>
      <c r="C30" s="848"/>
      <c r="D30" s="849" t="s">
        <v>500</v>
      </c>
      <c r="E30" s="850"/>
      <c r="F30" s="850"/>
      <c r="G30" s="851"/>
      <c r="H30" s="585">
        <v>10</v>
      </c>
      <c r="I30" s="586">
        <v>10</v>
      </c>
      <c r="J30" s="587">
        <v>10</v>
      </c>
      <c r="K30" s="598" t="s">
        <v>499</v>
      </c>
    </row>
    <row r="31" spans="1:19" ht="30" customHeight="1" thickBot="1">
      <c r="A31" s="788"/>
      <c r="B31" s="854" t="s">
        <v>442</v>
      </c>
      <c r="C31" s="855"/>
      <c r="D31" s="855"/>
      <c r="E31" s="855"/>
      <c r="F31" s="855"/>
      <c r="G31" s="855"/>
      <c r="H31" s="625">
        <f>H25+H27+H28+H29+H30</f>
        <v>50</v>
      </c>
      <c r="I31" s="116">
        <f>I27+I28+I29+I30</f>
        <v>35</v>
      </c>
      <c r="J31" s="89">
        <f>J27+J28+J29+J30</f>
        <v>26.176533333333335</v>
      </c>
      <c r="K31" s="669"/>
    </row>
    <row r="32" spans="1:19" ht="71.25" customHeight="1">
      <c r="A32" s="864" t="s">
        <v>453</v>
      </c>
      <c r="B32" s="865" t="s">
        <v>626</v>
      </c>
      <c r="C32" s="865"/>
      <c r="D32" s="865"/>
      <c r="E32" s="805"/>
      <c r="F32" s="866">
        <f>ROUNDDOWN('2-3 유사용역실적'!F11,0)</f>
        <v>0</v>
      </c>
      <c r="G32" s="866"/>
      <c r="H32" s="627">
        <v>20</v>
      </c>
      <c r="I32" s="85">
        <v>20</v>
      </c>
      <c r="J32" s="452">
        <f>(IF($K$3&gt;=1000,M36,IF(AND($K$3&lt;1000,$K$3&gt;=500),M38,IF(AND($K$3&lt;500,$K$3&gt;=300),M39,IF(AND($K$3&lt;300,$K$3&gt;=100),M40,IF($K$3&lt;100,M41))))))*10</f>
        <v>8</v>
      </c>
      <c r="K32" s="670"/>
    </row>
    <row r="33" spans="1:14" ht="39.75" customHeight="1" thickBot="1">
      <c r="A33" s="820"/>
      <c r="B33" s="863" t="s">
        <v>627</v>
      </c>
      <c r="C33" s="863"/>
      <c r="D33" s="863"/>
      <c r="E33" s="848"/>
      <c r="F33" s="841">
        <v>0</v>
      </c>
      <c r="G33" s="841"/>
      <c r="H33" s="627">
        <v>10</v>
      </c>
      <c r="I33" s="85">
        <v>10</v>
      </c>
      <c r="J33" s="452">
        <v>10</v>
      </c>
      <c r="K33" s="857"/>
    </row>
    <row r="34" spans="1:14" ht="26.25" customHeight="1" thickBot="1">
      <c r="A34" s="821"/>
      <c r="B34" s="859" t="s">
        <v>443</v>
      </c>
      <c r="C34" s="843"/>
      <c r="D34" s="843"/>
      <c r="E34" s="843"/>
      <c r="F34" s="843"/>
      <c r="G34" s="843"/>
      <c r="H34" s="626">
        <v>30</v>
      </c>
      <c r="I34" s="79">
        <f>I32+I33</f>
        <v>30</v>
      </c>
      <c r="J34" s="453">
        <f>J33</f>
        <v>10</v>
      </c>
      <c r="K34" s="858"/>
      <c r="L34" s="836" t="s">
        <v>48</v>
      </c>
      <c r="M34" s="836"/>
      <c r="N34" s="837"/>
    </row>
    <row r="35" spans="1:14" ht="51.75" customHeight="1" thickBot="1">
      <c r="A35" s="123" t="s">
        <v>456</v>
      </c>
      <c r="B35" s="867" t="s">
        <v>455</v>
      </c>
      <c r="C35" s="868"/>
      <c r="D35" s="868"/>
      <c r="E35" s="869"/>
      <c r="F35" s="870" t="s">
        <v>454</v>
      </c>
      <c r="G35" s="869"/>
      <c r="H35" s="124">
        <v>-6</v>
      </c>
      <c r="I35" s="125">
        <v>0</v>
      </c>
      <c r="J35" s="126">
        <f>I35</f>
        <v>0</v>
      </c>
      <c r="K35" s="641" t="s">
        <v>470</v>
      </c>
      <c r="L35" s="628"/>
      <c r="M35" s="119"/>
      <c r="N35" s="643"/>
    </row>
    <row r="36" spans="1:14" ht="28.5" customHeight="1" thickBot="1">
      <c r="A36" s="860" t="s">
        <v>450</v>
      </c>
      <c r="B36" s="861"/>
      <c r="C36" s="861"/>
      <c r="D36" s="861"/>
      <c r="E36" s="861"/>
      <c r="F36" s="861"/>
      <c r="G36" s="862"/>
      <c r="H36" s="120">
        <f>(H24+H31+H34)</f>
        <v>100</v>
      </c>
      <c r="I36" s="121">
        <f>I24+I25+I31+I34+I35</f>
        <v>98</v>
      </c>
      <c r="J36" s="122">
        <f>J24+J25+J31+J34+J35</f>
        <v>69.176533333333339</v>
      </c>
      <c r="K36" s="642" t="s">
        <v>457</v>
      </c>
      <c r="L36" s="644" t="s">
        <v>46</v>
      </c>
      <c r="M36" s="645" t="b">
        <f>IF($F$32="","",IF(AND($K$3&gt;=1000,$F$32&gt;=140),2,IF(AND($K$3&gt;=1000,$F$32&lt;140,$F$32&gt;=120),1.7,IF(AND($K$3&gt;=1000,$F$32&lt;70,$F$32&gt;=60),1.4,IF(AND($K$3&gt;=1000,$F$32&lt;60,$F$32&gt;=50),1.1,IF(AND($K$3&gt;=1000,$F$32&lt;50),0.8))))))</f>
        <v>0</v>
      </c>
      <c r="N36" s="447"/>
    </row>
    <row r="37" spans="1:14" ht="28.5" customHeight="1" thickBot="1">
      <c r="A37" s="860" t="s">
        <v>582</v>
      </c>
      <c r="B37" s="861"/>
      <c r="C37" s="861"/>
      <c r="D37" s="861"/>
      <c r="E37" s="861"/>
      <c r="F37" s="861"/>
      <c r="G37" s="862"/>
      <c r="H37" s="634">
        <f>(H24+H31+H34)</f>
        <v>100</v>
      </c>
      <c r="I37" s="121">
        <f>I24+I26+I31+I34+I35</f>
        <v>92</v>
      </c>
      <c r="J37" s="122">
        <f>J24+J26+J31+J34+J35</f>
        <v>56.876533333333334</v>
      </c>
      <c r="K37" s="656"/>
      <c r="L37" s="644"/>
      <c r="M37" s="645"/>
      <c r="N37" s="447"/>
    </row>
    <row r="38" spans="1:14" ht="26.25">
      <c r="A38" s="856" t="s">
        <v>487</v>
      </c>
      <c r="B38" s="856"/>
      <c r="C38" s="856"/>
      <c r="D38" s="856"/>
      <c r="E38" s="856"/>
      <c r="F38" s="856"/>
      <c r="G38" s="856"/>
      <c r="H38" s="856"/>
      <c r="I38" s="113" t="str">
        <f>IF(I36&gt;94,"적격","부적격")</f>
        <v>적격</v>
      </c>
      <c r="J38" s="113" t="str">
        <f>IF(J36&gt;94,"적격","부적격")</f>
        <v>부적격</v>
      </c>
      <c r="K38" s="117"/>
      <c r="L38" s="644" t="s">
        <v>47</v>
      </c>
      <c r="M38" s="645" t="b">
        <f>IF($F$32="","",IF(AND($K$3&gt;=500,$F$32&gt;=60),2,IF(AND($K$3&gt;=500,$F$32&lt;60,$F$32&gt;=50),1.7,IF(AND($K$3&gt;=500,$F$32&lt;50,$F$32&gt;=40),1.4,IF(AND($K$3&gt;=500,$F$32&lt;40,$F$32&gt;=30),1.1,IF(AND($K$3&gt;=500,$F$32&lt;20),0.8))))))</f>
        <v>0</v>
      </c>
      <c r="N38" s="447"/>
    </row>
    <row r="39" spans="1:14">
      <c r="L39" s="646" t="s">
        <v>414</v>
      </c>
      <c r="M39" s="645" t="b">
        <f>IF($F$32="","",IF(AND($K$3&gt;=300,$F$32&gt;=40),2,IF(AND($K$3&gt;=300,$F$32&lt;40,$F$32&gt;=30),1.7,IF(AND($K$3&gt;=300,$F$32&lt;30,$F$32&gt;=25),1.4,IF(AND($K$3&gt;=300,$F$32&lt;25,$F$32&gt;=20),1.1,IF(AND($K$3&gt;=300,$F$32&lt;20),0.8))))))</f>
        <v>0</v>
      </c>
      <c r="N39" s="447"/>
    </row>
    <row r="40" spans="1:14">
      <c r="L40" s="646" t="s">
        <v>415</v>
      </c>
      <c r="M40" s="645">
        <f>IF($F$32="","",IF(AND($K$3&gt;=100,$F$32&gt;=30),2,IF(AND($K$3&gt;=100,$F$32&lt;30,$F$32&gt;=25),1.7,IF(AND($K$3&gt;=100,$F$32&lt;25,$F$32&gt;=20),1.4,IF(AND($K$3&gt;=100,$F$32&lt;20,$F$32&gt;=15),1.1,IF(AND($K$3&gt;=100,$F$32&lt;15),0.8))))))</f>
        <v>0.8</v>
      </c>
      <c r="N40" s="447"/>
    </row>
    <row r="41" spans="1:14" ht="17.25" thickBot="1">
      <c r="L41" s="647" t="s">
        <v>416</v>
      </c>
      <c r="M41" s="648" t="b">
        <f>IF(F33="","",IF(AND($K$3&lt;100,F33&gt;=20),2,IF(AND($K$3&lt;100,F33&lt;20,F33&gt;=15),1.7,IF(AND($K$3&lt;100,F33&lt;15,F33&gt;=10),1.4,IF(AND($K$3&lt;100,F33&lt;10,F33&gt;=5),1.1,IF(AND($K$3&lt;0,F33&lt;5),0.8))))))</f>
        <v>0</v>
      </c>
      <c r="N41" s="649"/>
    </row>
    <row r="42" spans="1:14">
      <c r="L42" s="111"/>
      <c r="M42" s="98"/>
    </row>
  </sheetData>
  <mergeCells count="65">
    <mergeCell ref="B31:G31"/>
    <mergeCell ref="B30:C30"/>
    <mergeCell ref="D30:G30"/>
    <mergeCell ref="A38:H38"/>
    <mergeCell ref="K33:K34"/>
    <mergeCell ref="B34:G34"/>
    <mergeCell ref="A36:G36"/>
    <mergeCell ref="B33:E33"/>
    <mergeCell ref="F33:G33"/>
    <mergeCell ref="A37:G37"/>
    <mergeCell ref="A32:A34"/>
    <mergeCell ref="B32:E32"/>
    <mergeCell ref="F32:G32"/>
    <mergeCell ref="B35:E35"/>
    <mergeCell ref="F35:G35"/>
    <mergeCell ref="L34:N34"/>
    <mergeCell ref="A1:K1"/>
    <mergeCell ref="D21:G21"/>
    <mergeCell ref="D27:E27"/>
    <mergeCell ref="F27:G27"/>
    <mergeCell ref="D29:E29"/>
    <mergeCell ref="F29:G29"/>
    <mergeCell ref="B24:G24"/>
    <mergeCell ref="K16:K21"/>
    <mergeCell ref="B22:C22"/>
    <mergeCell ref="B23:C23"/>
    <mergeCell ref="D22:G22"/>
    <mergeCell ref="D28:E28"/>
    <mergeCell ref="F28:G28"/>
    <mergeCell ref="D23:G23"/>
    <mergeCell ref="E17:F17"/>
    <mergeCell ref="A2:C2"/>
    <mergeCell ref="A3:C3"/>
    <mergeCell ref="I3:J3"/>
    <mergeCell ref="A4:C4"/>
    <mergeCell ref="I4:J5"/>
    <mergeCell ref="K4:K5"/>
    <mergeCell ref="A5:C5"/>
    <mergeCell ref="A9:A24"/>
    <mergeCell ref="D9:D10"/>
    <mergeCell ref="G9:G10"/>
    <mergeCell ref="H9:H14"/>
    <mergeCell ref="A6:C6"/>
    <mergeCell ref="B9:C21"/>
    <mergeCell ref="E19:F19"/>
    <mergeCell ref="E20:F20"/>
    <mergeCell ref="D16:D20"/>
    <mergeCell ref="E16:F16"/>
    <mergeCell ref="E18:F18"/>
    <mergeCell ref="L6:L7"/>
    <mergeCell ref="A25:A31"/>
    <mergeCell ref="B27:C29"/>
    <mergeCell ref="K25:K26"/>
    <mergeCell ref="B25:C26"/>
    <mergeCell ref="D25:F26"/>
    <mergeCell ref="B8:C8"/>
    <mergeCell ref="D8:E8"/>
    <mergeCell ref="F8:G8"/>
    <mergeCell ref="D12:E12"/>
    <mergeCell ref="D15:G15"/>
    <mergeCell ref="D13:D14"/>
    <mergeCell ref="K10:K15"/>
    <mergeCell ref="I9:I14"/>
    <mergeCell ref="J9:J14"/>
    <mergeCell ref="D11:E11"/>
  </mergeCells>
  <phoneticPr fontId="2" type="noConversion"/>
  <pageMargins left="7.874015748031496E-2" right="7.874015748031496E-2" top="7.874015748031496E-2" bottom="7.874015748031496E-2" header="0" footer="0"/>
  <pageSetup paperSize="9" scale="54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rgb="FFC00000"/>
    <pageSetUpPr fitToPage="1"/>
  </sheetPr>
  <dimension ref="A1:T59"/>
  <sheetViews>
    <sheetView showGridLines="0" tabSelected="1" view="pageBreakPreview" topLeftCell="A13" zoomScaleNormal="100" zoomScaleSheetLayoutView="100" workbookViewId="0">
      <selection activeCell="H27" sqref="H27"/>
    </sheetView>
  </sheetViews>
  <sheetFormatPr defaultRowHeight="16.5"/>
  <cols>
    <col min="1" max="1" width="13.75" style="73" customWidth="1"/>
    <col min="2" max="2" width="7.875" style="73" customWidth="1"/>
    <col min="3" max="3" width="12.375" style="73" customWidth="1"/>
    <col min="4" max="4" width="16.125" style="73" customWidth="1"/>
    <col min="5" max="5" width="16.625" style="73" customWidth="1"/>
    <col min="6" max="6" width="17" style="73" customWidth="1"/>
    <col min="7" max="7" width="15.5" style="73" customWidth="1"/>
    <col min="8" max="8" width="9" style="73"/>
    <col min="9" max="9" width="13.125" style="96" customWidth="1"/>
    <col min="10" max="10" width="15.875" style="96" customWidth="1"/>
    <col min="11" max="11" width="29.375" customWidth="1"/>
    <col min="12" max="12" width="34.625" customWidth="1"/>
    <col min="13" max="13" width="12.375" customWidth="1"/>
    <col min="14" max="14" width="10.375" customWidth="1"/>
    <col min="20" max="20" width="22.75" customWidth="1"/>
  </cols>
  <sheetData>
    <row r="1" spans="1:20" ht="33.75">
      <c r="A1" s="960" t="str">
        <f>참여신청서!C16&amp;" 종합기술제안서 정량부분"</f>
        <v xml:space="preserve"> 종합기술제안서 정량부분</v>
      </c>
      <c r="B1" s="960"/>
      <c r="C1" s="960"/>
      <c r="D1" s="960"/>
      <c r="E1" s="960"/>
      <c r="F1" s="960"/>
      <c r="G1" s="960"/>
      <c r="H1" s="960"/>
      <c r="I1" s="960"/>
      <c r="J1" s="960"/>
      <c r="K1" s="960"/>
      <c r="L1" s="446"/>
      <c r="M1" s="446"/>
      <c r="N1" s="446"/>
      <c r="O1" s="446"/>
      <c r="P1" s="446"/>
    </row>
    <row r="2" spans="1:20">
      <c r="A2" s="819" t="str">
        <f>참여업체!C5</f>
        <v>A</v>
      </c>
      <c r="B2" s="819"/>
      <c r="C2" s="819"/>
      <c r="D2" s="71">
        <f>참여업체!C6</f>
        <v>0.57999999999999996</v>
      </c>
      <c r="E2" s="72"/>
      <c r="F2" s="72"/>
      <c r="G2" s="72"/>
      <c r="H2" s="58"/>
      <c r="I2" s="80"/>
      <c r="J2" s="80"/>
      <c r="K2" s="99"/>
      <c r="L2" s="58"/>
      <c r="N2" s="83"/>
      <c r="O2" s="77"/>
      <c r="P2" s="77"/>
      <c r="Q2" s="77"/>
      <c r="R2" s="77"/>
      <c r="S2" s="77"/>
      <c r="T2" s="77"/>
    </row>
    <row r="3" spans="1:20" ht="18.75">
      <c r="A3" s="819" t="str">
        <f>참여업체!D5</f>
        <v>B</v>
      </c>
      <c r="B3" s="819"/>
      <c r="C3" s="819"/>
      <c r="D3" s="71">
        <f>참여업체!D6</f>
        <v>0.28000000000000003</v>
      </c>
      <c r="E3" s="72"/>
      <c r="F3" s="72"/>
      <c r="G3" s="72"/>
      <c r="I3" s="830" t="s">
        <v>33</v>
      </c>
      <c r="J3" s="831"/>
      <c r="K3" s="485">
        <f>'자기평가서-기술적이행능력평가(1단계)'!K3</f>
        <v>123</v>
      </c>
      <c r="L3" s="81"/>
      <c r="N3" s="77"/>
      <c r="O3" s="77"/>
      <c r="P3" s="77"/>
      <c r="Q3" s="77"/>
      <c r="R3" s="77"/>
      <c r="S3" s="77"/>
      <c r="T3" s="77"/>
    </row>
    <row r="4" spans="1:20">
      <c r="A4" s="819" t="str">
        <f>참여업체!E5</f>
        <v>C</v>
      </c>
      <c r="B4" s="819"/>
      <c r="C4" s="819"/>
      <c r="D4" s="71">
        <f>참여업체!E6</f>
        <v>0.14000000000000001</v>
      </c>
      <c r="E4" s="72"/>
      <c r="F4" s="72"/>
      <c r="G4" s="72"/>
      <c r="I4" s="832" t="s">
        <v>34</v>
      </c>
      <c r="J4" s="833"/>
      <c r="K4" s="972">
        <f>'자기평가서-기술적이행능력평가(1단계)'!K4:K5</f>
        <v>45972</v>
      </c>
      <c r="L4" s="60"/>
      <c r="N4" s="77"/>
      <c r="O4" s="77"/>
      <c r="P4" s="77"/>
      <c r="Q4" s="77"/>
      <c r="R4" s="77"/>
      <c r="S4" s="77"/>
      <c r="T4" s="77"/>
    </row>
    <row r="5" spans="1:20">
      <c r="A5" s="819">
        <f>참여업체!F5</f>
        <v>0</v>
      </c>
      <c r="B5" s="819"/>
      <c r="C5" s="819"/>
      <c r="D5" s="71">
        <f>참여업체!F6</f>
        <v>0</v>
      </c>
      <c r="E5" s="72"/>
      <c r="F5" s="72"/>
      <c r="G5" s="72"/>
      <c r="I5" s="834"/>
      <c r="J5" s="835"/>
      <c r="K5" s="972"/>
      <c r="L5" s="60"/>
      <c r="N5" s="77"/>
      <c r="O5" s="77"/>
      <c r="P5" s="77"/>
      <c r="Q5" s="77"/>
      <c r="R5" s="77"/>
      <c r="S5" s="77"/>
      <c r="T5" s="77"/>
    </row>
    <row r="6" spans="1:20">
      <c r="A6" s="819">
        <f>참여업체!G5</f>
        <v>0</v>
      </c>
      <c r="B6" s="819"/>
      <c r="C6" s="819"/>
      <c r="D6" s="71">
        <f>참여업체!G6</f>
        <v>0</v>
      </c>
      <c r="E6" s="72"/>
      <c r="F6" s="72"/>
      <c r="G6" s="72"/>
      <c r="H6" s="78"/>
      <c r="I6" s="80"/>
      <c r="J6" s="80"/>
      <c r="K6" s="60"/>
      <c r="L6" s="60"/>
      <c r="M6" s="785"/>
    </row>
    <row r="7" spans="1:20" ht="17.25" thickBot="1">
      <c r="E7" s="72"/>
      <c r="F7" s="72"/>
      <c r="G7" s="72"/>
      <c r="H7" s="74" t="s">
        <v>35</v>
      </c>
      <c r="I7" s="80">
        <f>I57</f>
        <v>33.200000000000003</v>
      </c>
      <c r="J7" s="80">
        <f>J57</f>
        <v>33.647653333333338</v>
      </c>
      <c r="K7" s="57"/>
      <c r="L7" s="57"/>
      <c r="M7" s="785"/>
    </row>
    <row r="8" spans="1:20" ht="66.75" thickBot="1">
      <c r="A8" s="542" t="s">
        <v>36</v>
      </c>
      <c r="B8" s="973" t="s">
        <v>37</v>
      </c>
      <c r="C8" s="974"/>
      <c r="D8" s="974" t="s">
        <v>38</v>
      </c>
      <c r="E8" s="974"/>
      <c r="F8" s="974" t="s">
        <v>39</v>
      </c>
      <c r="G8" s="974"/>
      <c r="H8" s="543" t="s">
        <v>40</v>
      </c>
      <c r="I8" s="544" t="s">
        <v>41</v>
      </c>
      <c r="J8" s="544" t="s">
        <v>42</v>
      </c>
      <c r="K8" s="545" t="s">
        <v>43</v>
      </c>
      <c r="L8" s="532" t="s">
        <v>381</v>
      </c>
    </row>
    <row r="9" spans="1:20" ht="40.5" customHeight="1">
      <c r="A9" s="864" t="s">
        <v>477</v>
      </c>
      <c r="B9" s="930" t="s">
        <v>473</v>
      </c>
      <c r="C9" s="931"/>
      <c r="D9" s="931"/>
      <c r="E9" s="932"/>
      <c r="F9" s="933">
        <f>('자기평가서-기술적이행능력평가(1단계)'!J37)</f>
        <v>56.876533333333334</v>
      </c>
      <c r="G9" s="934"/>
      <c r="H9" s="468">
        <v>10</v>
      </c>
      <c r="I9" s="469">
        <f>('자기평가서-기술적이행능력평가(1단계)'!I37)*0.1</f>
        <v>9.2000000000000011</v>
      </c>
      <c r="J9" s="515">
        <f>('자기평가서-기술적이행능력평가(1단계)'!J37)*0.1</f>
        <v>5.6876533333333334</v>
      </c>
      <c r="K9" s="548"/>
      <c r="L9" s="528"/>
    </row>
    <row r="10" spans="1:20" ht="17.25" thickBot="1">
      <c r="A10" s="821"/>
      <c r="B10" s="935" t="s">
        <v>66</v>
      </c>
      <c r="C10" s="936"/>
      <c r="D10" s="936"/>
      <c r="E10" s="936"/>
      <c r="F10" s="936"/>
      <c r="G10" s="859"/>
      <c r="H10" s="467">
        <v>10</v>
      </c>
      <c r="I10" s="79">
        <f>I9</f>
        <v>9.2000000000000011</v>
      </c>
      <c r="J10" s="516">
        <f>J9</f>
        <v>5.6876533333333334</v>
      </c>
      <c r="K10" s="549"/>
      <c r="L10" s="529"/>
    </row>
    <row r="11" spans="1:20" ht="34.5" customHeight="1">
      <c r="A11" s="864" t="s">
        <v>583</v>
      </c>
      <c r="B11" s="930" t="s">
        <v>584</v>
      </c>
      <c r="C11" s="931"/>
      <c r="D11" s="931"/>
      <c r="E11" s="932"/>
      <c r="F11" s="933">
        <v>0.78</v>
      </c>
      <c r="G11" s="934"/>
      <c r="H11" s="468">
        <v>5</v>
      </c>
      <c r="I11" s="469">
        <f>'자기평가서-기술적이행능력평가(1단계)'!I39</f>
        <v>0</v>
      </c>
      <c r="J11" s="518">
        <f>(IF(F11="","",IF(F11&gt;=20,1,IF(AND(F11&lt;20,F11&gt;=15),2,IF(AND(F11&lt;15,F11&gt;=10),3,IF(AND(F11&lt;10,F11&gt;=5),4,5))))))</f>
        <v>5</v>
      </c>
      <c r="K11" s="657" t="s">
        <v>634</v>
      </c>
      <c r="L11" s="529"/>
    </row>
    <row r="12" spans="1:20" ht="25.5" customHeight="1" thickBot="1">
      <c r="A12" s="821"/>
      <c r="B12" s="935" t="s">
        <v>631</v>
      </c>
      <c r="C12" s="936"/>
      <c r="D12" s="936"/>
      <c r="E12" s="936"/>
      <c r="F12" s="936"/>
      <c r="G12" s="859"/>
      <c r="H12" s="633">
        <v>5</v>
      </c>
      <c r="I12" s="79">
        <f>I11</f>
        <v>0</v>
      </c>
      <c r="J12" s="516">
        <f>J11</f>
        <v>5</v>
      </c>
      <c r="K12" s="549"/>
      <c r="L12" s="529"/>
    </row>
    <row r="13" spans="1:20" ht="16.5" customHeight="1">
      <c r="A13" s="864" t="s">
        <v>597</v>
      </c>
      <c r="B13" s="878" t="s">
        <v>426</v>
      </c>
      <c r="C13" s="898"/>
      <c r="D13" s="948" t="s">
        <v>49</v>
      </c>
      <c r="E13" s="949"/>
      <c r="F13" s="950" t="str">
        <f>'3-1 참여기술인(등급)'!G8</f>
        <v>특급</v>
      </c>
      <c r="G13" s="951"/>
      <c r="H13" s="559" t="s">
        <v>50</v>
      </c>
      <c r="I13" s="546" t="s">
        <v>302</v>
      </c>
      <c r="J13" s="547" t="str">
        <f>'3-1 참여기술인(등급)'!H8</f>
        <v>적격</v>
      </c>
      <c r="K13" s="938"/>
      <c r="L13" s="473"/>
    </row>
    <row r="14" spans="1:20">
      <c r="A14" s="820"/>
      <c r="B14" s="940" t="str">
        <f>'3-1 참여기술인(등급)'!D8</f>
        <v>홍길동</v>
      </c>
      <c r="C14" s="941"/>
      <c r="D14" s="942" t="s">
        <v>51</v>
      </c>
      <c r="E14" s="943"/>
      <c r="F14" s="944">
        <f>ROUNDDOWN('3-2 책임기술인'!M11/365,0)</f>
        <v>32</v>
      </c>
      <c r="G14" s="945"/>
      <c r="H14" s="62">
        <v>3.6</v>
      </c>
      <c r="I14" s="90">
        <v>3.6</v>
      </c>
      <c r="J14" s="517">
        <f>IF(F14="","",IF(F14&gt;=15,9,IF(AND(F14&lt;15,F14&gt;=13),8.1,IF(AND(F14&lt;13,F14&gt;=11),7.2,IF(AND(F14&lt;11,F14&gt;=9),6.3,5.4)))))*0.4</f>
        <v>3.6</v>
      </c>
      <c r="K14" s="939"/>
      <c r="L14" s="473"/>
    </row>
    <row r="15" spans="1:20" ht="36">
      <c r="A15" s="820"/>
      <c r="B15" s="953"/>
      <c r="C15" s="953"/>
      <c r="D15" s="471" t="s">
        <v>52</v>
      </c>
      <c r="E15" s="471" t="s">
        <v>413</v>
      </c>
      <c r="F15" s="915">
        <f>ROUNDDOWN('3-2 책임기술인'!M10/30,0)</f>
        <v>0</v>
      </c>
      <c r="G15" s="915"/>
      <c r="H15" s="484">
        <v>6</v>
      </c>
      <c r="I15" s="90">
        <v>6</v>
      </c>
      <c r="J15" s="518">
        <f>(IF(F15="","",IF(F15&gt;=60,15,IF(AND(F15&lt;60,F15&gt;=48),13.5,IF(AND(F15&lt;48,F15&gt;=36),12,IF(AND(F15&lt;36,F15&gt;=24),10.5,9))))))*0.4</f>
        <v>3.6</v>
      </c>
      <c r="K15" s="939"/>
      <c r="L15" s="473"/>
    </row>
    <row r="16" spans="1:20">
      <c r="A16" s="820"/>
      <c r="B16" s="878"/>
      <c r="C16" s="878"/>
      <c r="D16" s="907" t="s">
        <v>53</v>
      </c>
      <c r="E16" s="895" t="s">
        <v>586</v>
      </c>
      <c r="F16" s="896"/>
      <c r="G16" s="897"/>
      <c r="H16" s="484">
        <v>0.2</v>
      </c>
      <c r="I16" s="90">
        <v>0.2</v>
      </c>
      <c r="J16" s="518">
        <f>'3-3 교육훈련'!J11</f>
        <v>0.2</v>
      </c>
      <c r="K16" s="939"/>
      <c r="L16" s="473"/>
    </row>
    <row r="17" spans="1:15">
      <c r="A17" s="820"/>
      <c r="B17" s="878"/>
      <c r="C17" s="878"/>
      <c r="D17" s="907"/>
      <c r="E17" s="471" t="s">
        <v>54</v>
      </c>
      <c r="F17" s="952" t="s">
        <v>522</v>
      </c>
      <c r="G17" s="952"/>
      <c r="H17" s="63">
        <v>0.2</v>
      </c>
      <c r="I17" s="91">
        <v>0.2</v>
      </c>
      <c r="J17" s="519">
        <f>IF(F17="","",IF(F17="기술사",0.5,IF(F17="건축사",0.5,IF(F17="기사",0.3,IF(F17="산업기사",0.1)))))*0.4</f>
        <v>0.12</v>
      </c>
      <c r="K17" s="939"/>
      <c r="L17" s="473"/>
    </row>
    <row r="18" spans="1:15">
      <c r="A18" s="820"/>
      <c r="B18" s="898"/>
      <c r="C18" s="924"/>
      <c r="D18" s="925" t="s">
        <v>55</v>
      </c>
      <c r="E18" s="925"/>
      <c r="F18" s="925"/>
      <c r="G18" s="925"/>
      <c r="H18" s="64">
        <f>SUM(H14:H17)</f>
        <v>9.9999999999999982</v>
      </c>
      <c r="I18" s="92">
        <f>SUM(I14:I17)</f>
        <v>9.9999999999999982</v>
      </c>
      <c r="J18" s="520">
        <f>SUM(J13:J17)</f>
        <v>7.5200000000000005</v>
      </c>
      <c r="K18" s="939"/>
      <c r="L18" s="473"/>
    </row>
    <row r="19" spans="1:15">
      <c r="A19" s="820"/>
      <c r="B19" s="897" t="s">
        <v>427</v>
      </c>
      <c r="C19" s="826" t="s">
        <v>49</v>
      </c>
      <c r="D19" s="471" t="s">
        <v>57</v>
      </c>
      <c r="E19" s="470" t="str">
        <f>'3-1 참여기술인(등급)'!D12</f>
        <v>백철수</v>
      </c>
      <c r="F19" s="902" t="str">
        <f>'3-1 참여기술인(등급)'!G12</f>
        <v>특급</v>
      </c>
      <c r="G19" s="903"/>
      <c r="H19" s="826" t="s">
        <v>50</v>
      </c>
      <c r="I19" s="958" t="s">
        <v>50</v>
      </c>
      <c r="J19" s="521" t="str">
        <f>'3-1 참여기술인(등급)'!H12</f>
        <v>적격</v>
      </c>
      <c r="K19" s="534"/>
      <c r="L19" s="530"/>
    </row>
    <row r="20" spans="1:15">
      <c r="A20" s="820"/>
      <c r="B20" s="897"/>
      <c r="C20" s="827"/>
      <c r="D20" s="926" t="s">
        <v>58</v>
      </c>
      <c r="E20" s="928" t="str">
        <f>'3-1 참여기술인(등급)'!D28</f>
        <v>홍영희</v>
      </c>
      <c r="F20" s="902" t="str">
        <f>'3-1 참여기술인(등급)'!G28</f>
        <v>고급</v>
      </c>
      <c r="G20" s="903"/>
      <c r="H20" s="827"/>
      <c r="I20" s="959"/>
      <c r="J20" s="521" t="str">
        <f>'3-1 참여기술인(등급)'!H28</f>
        <v>적격</v>
      </c>
      <c r="K20" s="536"/>
      <c r="L20" s="448"/>
    </row>
    <row r="21" spans="1:15">
      <c r="A21" s="820"/>
      <c r="B21" s="897"/>
      <c r="C21" s="827"/>
      <c r="D21" s="927"/>
      <c r="E21" s="929"/>
      <c r="F21" s="902" t="str">
        <f>'3-1 참여기술인(등급)'!G30</f>
        <v>고급</v>
      </c>
      <c r="G21" s="903"/>
      <c r="H21" s="827"/>
      <c r="I21" s="959"/>
      <c r="J21" s="521" t="str">
        <f>'3-1 참여기술인(등급)'!H30</f>
        <v>적격</v>
      </c>
      <c r="K21" s="536"/>
      <c r="L21" s="448"/>
    </row>
    <row r="22" spans="1:15">
      <c r="A22" s="820"/>
      <c r="B22" s="897"/>
      <c r="C22" s="907" t="s">
        <v>60</v>
      </c>
      <c r="D22" s="471" t="str">
        <f>D19</f>
        <v>토목1</v>
      </c>
      <c r="E22" s="470" t="str">
        <f>E19</f>
        <v>백철수</v>
      </c>
      <c r="F22" s="908">
        <f>IF(E22="","",ROUNDDOWN('3-2 분야별기술인(토목)'!M8/365,0))</f>
        <v>40</v>
      </c>
      <c r="G22" s="908"/>
      <c r="H22" s="826">
        <v>3.6</v>
      </c>
      <c r="I22" s="90">
        <v>3.6</v>
      </c>
      <c r="J22" s="522">
        <f>IF(F22="","",IF('3-1 참여기술인(등급)'!F12="특급",'3-1 참여기술인(등급)'!M43,IF('3-1 참여기술인(등급)'!F12="고급이상",'3-1 참여기술인(등급)'!M44,IF('3-1 참여기술인(등급)'!F12="중급이상",'3-1 참여기술인(등급)'!M45,'3-1 참여기술인(등급)'!M46))))*0.4</f>
        <v>3.6</v>
      </c>
      <c r="K22" s="535"/>
      <c r="L22" s="448"/>
    </row>
    <row r="23" spans="1:15">
      <c r="A23" s="820"/>
      <c r="B23" s="897"/>
      <c r="C23" s="907"/>
      <c r="D23" s="471" t="s">
        <v>408</v>
      </c>
      <c r="E23" s="470" t="str">
        <f>E20</f>
        <v>홍영희</v>
      </c>
      <c r="F23" s="899">
        <f>IF(E23="","",ROUNDDOWN('3-2 분야별기술인(안전)'!M14/365,0))</f>
        <v>28</v>
      </c>
      <c r="G23" s="900"/>
      <c r="H23" s="828"/>
      <c r="I23" s="90">
        <v>3.6</v>
      </c>
      <c r="J23" s="522">
        <f>IF(F23="","",IF('3-1 참여기술인(등급)'!F30="특급",'3-1 참여기술인(등급)'!M63,IF('3-1 참여기술인(등급)'!F30="고급이상",'3-1 참여기술인(등급)'!M64,IF('3-1 참여기술인(등급)'!F30="중급이상",'3-1 참여기술인(등급)'!M65,'3-1 참여기술인(등급)'!M66))))*0.4</f>
        <v>3.6</v>
      </c>
      <c r="K23" s="535"/>
      <c r="L23" s="448"/>
    </row>
    <row r="24" spans="1:15">
      <c r="A24" s="820"/>
      <c r="B24" s="897"/>
      <c r="C24" s="907"/>
      <c r="D24" s="901" t="s">
        <v>45</v>
      </c>
      <c r="E24" s="901"/>
      <c r="F24" s="901"/>
      <c r="G24" s="901"/>
      <c r="H24" s="65">
        <f>H22</f>
        <v>3.6</v>
      </c>
      <c r="I24" s="93">
        <f>AVERAGE(I22:I23)</f>
        <v>3.6</v>
      </c>
      <c r="J24" s="523">
        <f>AVERAGE(J22:J23)</f>
        <v>3.6</v>
      </c>
      <c r="K24" s="535"/>
      <c r="L24" s="448"/>
    </row>
    <row r="25" spans="1:15">
      <c r="A25" s="820"/>
      <c r="B25" s="897"/>
      <c r="C25" s="907" t="s">
        <v>383</v>
      </c>
      <c r="D25" s="471" t="str">
        <f>D19</f>
        <v>토목1</v>
      </c>
      <c r="E25" s="470" t="str">
        <f>E22</f>
        <v>백철수</v>
      </c>
      <c r="F25" s="915">
        <f>IF(E25="","",ROUNDDOWN('3-2 분야별기술인(토목)'!M7/30,0))</f>
        <v>0</v>
      </c>
      <c r="G25" s="915"/>
      <c r="H25" s="826">
        <v>6</v>
      </c>
      <c r="I25" s="85">
        <v>6</v>
      </c>
      <c r="J25" s="524">
        <f>IF(F25="","",IF('3-1 참여기술인(등급)'!F12="특급",'3-1 참여기술인(등급)'!Q43,IF('3-1 참여기술인(등급)'!F12="고급이상",'3-1 참여기술인(등급)'!Q44,IF('3-1 참여기술인(등급)'!F12="중급이상",'3-1 참여기술인(등급)'!Q45,'3-1 참여기술인(등급)'!Q46))))*0.4</f>
        <v>5.4</v>
      </c>
      <c r="K25" s="537"/>
      <c r="L25" s="449"/>
    </row>
    <row r="26" spans="1:15">
      <c r="A26" s="820"/>
      <c r="B26" s="897"/>
      <c r="C26" s="907"/>
      <c r="D26" s="471" t="s">
        <v>417</v>
      </c>
      <c r="E26" s="470" t="str">
        <f>E23</f>
        <v>홍영희</v>
      </c>
      <c r="F26" s="970">
        <f>IF(E26="","",ROUNDDOWN('3-2 분야별기술인(안전)'!M13/30,0))</f>
        <v>0</v>
      </c>
      <c r="G26" s="971"/>
      <c r="H26" s="828"/>
      <c r="I26" s="85">
        <v>6</v>
      </c>
      <c r="J26" s="524">
        <f>IF(F26="","",IF('3-1 참여기술인(등급)'!F30="특급",'3-1 참여기술인(등급)'!Q63,IF('3-1 참여기술인(등급)'!F30="고급이상",'3-1 참여기술인(등급)'!Q64,IF('3-1 참여기술인(등급)'!F30="중급이상",'3-1 참여기술인(등급)'!Q65,'3-1 참여기술인(등급)'!Q66))))*0.4</f>
        <v>5.4</v>
      </c>
      <c r="K26" s="657" t="s">
        <v>635</v>
      </c>
      <c r="L26" s="473"/>
    </row>
    <row r="27" spans="1:15">
      <c r="A27" s="820"/>
      <c r="B27" s="897"/>
      <c r="C27" s="907"/>
      <c r="D27" s="901" t="s">
        <v>45</v>
      </c>
      <c r="E27" s="901"/>
      <c r="F27" s="901"/>
      <c r="G27" s="901"/>
      <c r="H27" s="65">
        <f>H25</f>
        <v>6</v>
      </c>
      <c r="I27" s="93">
        <f>AVERAGE(I25:I26)</f>
        <v>6</v>
      </c>
      <c r="J27" s="523">
        <f>AVERAGE(J25:J26)</f>
        <v>5.4</v>
      </c>
      <c r="K27" s="539"/>
      <c r="L27" s="450"/>
    </row>
    <row r="28" spans="1:15">
      <c r="A28" s="820"/>
      <c r="B28" s="897"/>
      <c r="C28" s="907" t="s">
        <v>61</v>
      </c>
      <c r="D28" s="907"/>
      <c r="E28" s="967" t="s">
        <v>488</v>
      </c>
      <c r="F28" s="968"/>
      <c r="G28" s="969"/>
      <c r="H28" s="118">
        <v>0.4</v>
      </c>
      <c r="I28" s="94">
        <v>0.4</v>
      </c>
      <c r="J28" s="658">
        <f>'3-3 교육훈련'!J20</f>
        <v>0.4</v>
      </c>
      <c r="K28" s="538"/>
      <c r="L28" s="473"/>
    </row>
    <row r="29" spans="1:15">
      <c r="A29" s="820"/>
      <c r="B29" s="897"/>
      <c r="C29" s="909" t="s">
        <v>62</v>
      </c>
      <c r="D29" s="909"/>
      <c r="E29" s="909"/>
      <c r="F29" s="909"/>
      <c r="G29" s="909"/>
      <c r="H29" s="66">
        <f>H24+H27+H28</f>
        <v>10</v>
      </c>
      <c r="I29" s="95">
        <f>I24+I27+I28</f>
        <v>10</v>
      </c>
      <c r="J29" s="525">
        <f>J24+J27+J28</f>
        <v>9.4</v>
      </c>
      <c r="K29" s="540"/>
      <c r="L29" s="531"/>
    </row>
    <row r="30" spans="1:15">
      <c r="A30" s="820"/>
      <c r="B30" s="897" t="s">
        <v>425</v>
      </c>
      <c r="C30" s="907" t="s">
        <v>49</v>
      </c>
      <c r="D30" s="471" t="s">
        <v>585</v>
      </c>
      <c r="E30" s="470" t="str">
        <f>'3-1 참여기술인(등급)'!D21</f>
        <v>김가나다</v>
      </c>
      <c r="F30" s="914" t="str">
        <f>'3-1 참여기술인(등급)'!G21</f>
        <v>특급</v>
      </c>
      <c r="G30" s="914"/>
      <c r="H30" s="629">
        <v>1.2</v>
      </c>
      <c r="I30" s="85">
        <v>1.2</v>
      </c>
      <c r="J30" s="526">
        <f>IF(F30="","",IF(F30="특급",3,IF(AND($K$3&gt;=300,OR(F30="고급",F30="중급",F30="초급")),2,IF(AND($K$3&lt;300,F30="고급"),3,IF(AND($K$3&lt;300,OR(F30="중급",F30="초급")),2,0)))))*0.4</f>
        <v>1.2000000000000002</v>
      </c>
      <c r="K30" s="537"/>
      <c r="L30" s="449"/>
    </row>
    <row r="31" spans="1:15">
      <c r="A31" s="820"/>
      <c r="B31" s="897"/>
      <c r="C31" s="907"/>
      <c r="D31" s="901" t="s">
        <v>63</v>
      </c>
      <c r="E31" s="901"/>
      <c r="F31" s="901"/>
      <c r="G31" s="901"/>
      <c r="H31" s="65">
        <f>H30</f>
        <v>1.2</v>
      </c>
      <c r="I31" s="93">
        <f>AVERAGE(I30:I30)</f>
        <v>1.2</v>
      </c>
      <c r="J31" s="523">
        <f>AVERAGE(J30:J30)</f>
        <v>1.2000000000000002</v>
      </c>
      <c r="K31" s="538"/>
      <c r="L31" s="473"/>
    </row>
    <row r="32" spans="1:15" ht="24" customHeight="1">
      <c r="A32" s="820"/>
      <c r="B32" s="897"/>
      <c r="C32" s="907" t="s">
        <v>418</v>
      </c>
      <c r="D32" s="471" t="str">
        <f>D30</f>
        <v>토목</v>
      </c>
      <c r="E32" s="470" t="str">
        <f>E30</f>
        <v>김가나다</v>
      </c>
      <c r="F32" s="915">
        <f>IF(E32="","",ROUNDDOWN('3-2 기술지원기술인(기술지원)'!M7/30,0))</f>
        <v>0</v>
      </c>
      <c r="G32" s="915"/>
      <c r="H32" s="629">
        <v>2.4</v>
      </c>
      <c r="I32" s="85">
        <v>2.4</v>
      </c>
      <c r="J32" s="524">
        <f>IF(F32="","",IF(F32&gt;=48,6,IF(AND(F32&lt;48,F32&gt;=42),5.4,IF(AND(F32&lt;42,F32&gt;=36),4.8,IF(AND(F32&lt;36,F32&gt;=24),4.2,IF(F32&lt;24,3.6))))))*0.4</f>
        <v>1.4400000000000002</v>
      </c>
      <c r="K32" s="538"/>
      <c r="L32" s="473"/>
      <c r="N32">
        <f>185</f>
        <v>185</v>
      </c>
      <c r="O32" s="659">
        <f>N32*8</f>
        <v>1480</v>
      </c>
    </row>
    <row r="33" spans="1:15" ht="24" customHeight="1">
      <c r="A33" s="820"/>
      <c r="B33" s="897"/>
      <c r="C33" s="907"/>
      <c r="D33" s="901" t="s">
        <v>45</v>
      </c>
      <c r="E33" s="901"/>
      <c r="F33" s="901"/>
      <c r="G33" s="901"/>
      <c r="H33" s="65">
        <f>H32</f>
        <v>2.4</v>
      </c>
      <c r="I33" s="93">
        <f>SUM(I32:I32)/(COUNT(I32:I32))</f>
        <v>2.4</v>
      </c>
      <c r="J33" s="523">
        <f>SUM(J32:J32)/(COUNT(J32:J32))</f>
        <v>1.4400000000000002</v>
      </c>
      <c r="K33" s="538"/>
      <c r="L33" s="473"/>
      <c r="N33">
        <f>135</f>
        <v>135</v>
      </c>
      <c r="O33" s="659">
        <f t="shared" ref="O33:O36" si="0">N33*8</f>
        <v>1080</v>
      </c>
    </row>
    <row r="34" spans="1:15">
      <c r="A34" s="820"/>
      <c r="B34" s="897"/>
      <c r="C34" s="907" t="s">
        <v>53</v>
      </c>
      <c r="D34" s="895" t="s">
        <v>489</v>
      </c>
      <c r="E34" s="896"/>
      <c r="F34" s="896"/>
      <c r="G34" s="897"/>
      <c r="H34" s="471">
        <v>0.2</v>
      </c>
      <c r="I34" s="85">
        <v>0.2</v>
      </c>
      <c r="J34" s="526">
        <f>'3-3 교육훈련'!J27</f>
        <v>0.4</v>
      </c>
      <c r="K34" s="538"/>
      <c r="L34" s="473"/>
      <c r="N34">
        <f>150</f>
        <v>150</v>
      </c>
      <c r="O34" s="659">
        <f t="shared" si="0"/>
        <v>1200</v>
      </c>
    </row>
    <row r="35" spans="1:15">
      <c r="A35" s="820"/>
      <c r="B35" s="897"/>
      <c r="C35" s="907"/>
      <c r="D35" s="907" t="s">
        <v>64</v>
      </c>
      <c r="E35" s="907"/>
      <c r="F35" s="952" t="s">
        <v>65</v>
      </c>
      <c r="G35" s="952"/>
      <c r="H35" s="471">
        <v>0.2</v>
      </c>
      <c r="I35" s="85">
        <v>0.2</v>
      </c>
      <c r="J35" s="526">
        <f>IF(F35="","",IF(F35="기술사",0.5,IF(F35="건축사",0.5,IF(F35="기사",0.3,IF(F35="산업기사",0.1)))))*0.4</f>
        <v>0.2</v>
      </c>
      <c r="K35" s="538"/>
      <c r="L35" s="473"/>
      <c r="N35">
        <f>30</f>
        <v>30</v>
      </c>
      <c r="O35" s="659">
        <f t="shared" si="0"/>
        <v>240</v>
      </c>
    </row>
    <row r="36" spans="1:15">
      <c r="A36" s="820"/>
      <c r="B36" s="897"/>
      <c r="C36" s="907"/>
      <c r="D36" s="901" t="s">
        <v>45</v>
      </c>
      <c r="E36" s="901"/>
      <c r="F36" s="901"/>
      <c r="G36" s="901"/>
      <c r="H36" s="65">
        <f>SUM(H34:H35)</f>
        <v>0.4</v>
      </c>
      <c r="I36" s="93">
        <f>SUM(I34:I35)</f>
        <v>0.4</v>
      </c>
      <c r="J36" s="523">
        <f>SUM(J34:J35)</f>
        <v>0.60000000000000009</v>
      </c>
      <c r="K36" s="538"/>
      <c r="L36" s="473"/>
      <c r="N36">
        <f>SUM(N32:N35)</f>
        <v>500</v>
      </c>
      <c r="O36">
        <f t="shared" si="0"/>
        <v>4000</v>
      </c>
    </row>
    <row r="37" spans="1:15">
      <c r="A37" s="820"/>
      <c r="B37" s="897"/>
      <c r="C37" s="909" t="s">
        <v>55</v>
      </c>
      <c r="D37" s="909"/>
      <c r="E37" s="909"/>
      <c r="F37" s="909"/>
      <c r="G37" s="909"/>
      <c r="H37" s="66">
        <f>H31+H33+H36</f>
        <v>3.9999999999999996</v>
      </c>
      <c r="I37" s="95">
        <f>I31+I33+I36</f>
        <v>3.9999999999999996</v>
      </c>
      <c r="J37" s="525">
        <f>J31+J33+J36</f>
        <v>3.2400000000000007</v>
      </c>
      <c r="K37" s="541"/>
      <c r="L37" s="451"/>
    </row>
    <row r="38" spans="1:15" ht="17.25" thickBot="1">
      <c r="A38" s="821"/>
      <c r="B38" s="842" t="s">
        <v>628</v>
      </c>
      <c r="C38" s="843"/>
      <c r="D38" s="843"/>
      <c r="E38" s="843"/>
      <c r="F38" s="843"/>
      <c r="G38" s="843"/>
      <c r="H38" s="467">
        <f>H18+H29+H37</f>
        <v>24</v>
      </c>
      <c r="I38" s="79">
        <f>I18+I29+I37</f>
        <v>24</v>
      </c>
      <c r="J38" s="527">
        <f>J18+J29+J37</f>
        <v>20.160000000000004</v>
      </c>
      <c r="K38" s="550"/>
      <c r="L38" s="531"/>
    </row>
    <row r="39" spans="1:15" ht="16.5" customHeight="1">
      <c r="A39" s="864" t="s">
        <v>630</v>
      </c>
      <c r="B39" s="916" t="s">
        <v>426</v>
      </c>
      <c r="C39" s="917"/>
      <c r="D39" s="917"/>
      <c r="E39" s="917"/>
      <c r="F39" s="923">
        <v>0</v>
      </c>
      <c r="G39" s="923"/>
      <c r="H39" s="883" t="s">
        <v>59</v>
      </c>
      <c r="I39" s="664" t="str">
        <f>J39</f>
        <v>적합</v>
      </c>
      <c r="J39" s="662" t="str">
        <f>IF(F39&gt;0,"실격","적합")</f>
        <v>적합</v>
      </c>
      <c r="K39" s="910" t="s">
        <v>676</v>
      </c>
      <c r="L39" s="474"/>
    </row>
    <row r="40" spans="1:15" ht="16.5" customHeight="1">
      <c r="A40" s="820"/>
      <c r="B40" s="920" t="s">
        <v>427</v>
      </c>
      <c r="C40" s="921"/>
      <c r="D40" s="630" t="s">
        <v>57</v>
      </c>
      <c r="E40" s="630" t="str">
        <f>E19</f>
        <v>백철수</v>
      </c>
      <c r="F40" s="894">
        <v>0</v>
      </c>
      <c r="G40" s="894"/>
      <c r="H40" s="884"/>
      <c r="I40" s="665" t="str">
        <f>J40</f>
        <v>적합</v>
      </c>
      <c r="J40" s="513" t="str">
        <f t="shared" ref="J40" si="1">IF(F40&gt;0,"실격","적합")</f>
        <v>적합</v>
      </c>
      <c r="K40" s="911"/>
      <c r="L40" s="474"/>
    </row>
    <row r="41" spans="1:15">
      <c r="A41" s="820"/>
      <c r="B41" s="922"/>
      <c r="C41" s="879"/>
      <c r="D41" s="635" t="s">
        <v>440</v>
      </c>
      <c r="E41" s="630" t="str">
        <f>E20</f>
        <v>홍영희</v>
      </c>
      <c r="F41" s="965">
        <v>0</v>
      </c>
      <c r="G41" s="966"/>
      <c r="H41" s="884"/>
      <c r="I41" s="665" t="str">
        <f t="shared" ref="I41" si="2">J41</f>
        <v>적합</v>
      </c>
      <c r="J41" s="513" t="str">
        <f t="shared" ref="J41" si="3">IF(F41&gt;0,"실격","적합")</f>
        <v>적합</v>
      </c>
      <c r="K41" s="911"/>
      <c r="L41" s="447"/>
    </row>
    <row r="42" spans="1:15" ht="16.5" customHeight="1" thickBot="1">
      <c r="A42" s="821"/>
      <c r="B42" s="918" t="s">
        <v>428</v>
      </c>
      <c r="C42" s="919"/>
      <c r="D42" s="454" t="str">
        <f>'3-1 참여기술인(등급)'!A21</f>
        <v>토목</v>
      </c>
      <c r="E42" s="455" t="str">
        <f>'3-1 참여기술인(등급)'!D21</f>
        <v>김가나다</v>
      </c>
      <c r="F42" s="913">
        <v>6</v>
      </c>
      <c r="G42" s="913"/>
      <c r="H42" s="964"/>
      <c r="I42" s="666" t="str">
        <f t="shared" ref="I42" si="4">J42</f>
        <v>적합</v>
      </c>
      <c r="J42" s="514" t="str">
        <f>IF(E42="","",IF(F42&lt;9,"적합","실격"))</f>
        <v>적합</v>
      </c>
      <c r="K42" s="912"/>
      <c r="L42" s="447"/>
    </row>
    <row r="43" spans="1:15" ht="15" customHeight="1">
      <c r="A43" s="873" t="s">
        <v>598</v>
      </c>
      <c r="B43" s="874" t="s">
        <v>601</v>
      </c>
      <c r="C43" s="875"/>
      <c r="D43" s="875"/>
      <c r="E43" s="876"/>
      <c r="F43" s="888" t="str">
        <f>'4.BIM전문인력 구성'!D9</f>
        <v>홍길동</v>
      </c>
      <c r="G43" s="889"/>
      <c r="H43" s="883">
        <v>1</v>
      </c>
      <c r="I43" s="886">
        <v>0</v>
      </c>
      <c r="J43" s="887">
        <f>'4.BIM전문인력 구성'!L11</f>
        <v>1</v>
      </c>
      <c r="K43" s="668"/>
      <c r="L43" s="447"/>
    </row>
    <row r="44" spans="1:15" ht="15" customHeight="1">
      <c r="A44" s="791"/>
      <c r="B44" s="877"/>
      <c r="C44" s="878"/>
      <c r="D44" s="878"/>
      <c r="E44" s="879"/>
      <c r="F44" s="890"/>
      <c r="G44" s="891"/>
      <c r="H44" s="884"/>
      <c r="I44" s="811"/>
      <c r="J44" s="814"/>
      <c r="K44" s="667"/>
      <c r="L44" s="447"/>
    </row>
    <row r="45" spans="1:15" ht="15" customHeight="1">
      <c r="A45" s="791"/>
      <c r="B45" s="880"/>
      <c r="C45" s="881"/>
      <c r="D45" s="881"/>
      <c r="E45" s="882"/>
      <c r="F45" s="892"/>
      <c r="G45" s="893"/>
      <c r="H45" s="885"/>
      <c r="I45" s="812"/>
      <c r="J45" s="815"/>
      <c r="K45" s="667"/>
      <c r="L45" s="447"/>
    </row>
    <row r="46" spans="1:15" ht="25.5" customHeight="1" thickBot="1">
      <c r="A46" s="821"/>
      <c r="B46" s="842" t="s">
        <v>600</v>
      </c>
      <c r="C46" s="843"/>
      <c r="D46" s="843"/>
      <c r="E46" s="843"/>
      <c r="F46" s="843"/>
      <c r="G46" s="843"/>
      <c r="H46" s="633">
        <v>1</v>
      </c>
      <c r="I46" s="79">
        <f>I43</f>
        <v>0</v>
      </c>
      <c r="J46" s="527">
        <f>J43</f>
        <v>1</v>
      </c>
      <c r="K46" s="550"/>
      <c r="L46" s="447"/>
    </row>
    <row r="47" spans="1:15" ht="61.5" customHeight="1">
      <c r="A47" s="864" t="s">
        <v>599</v>
      </c>
      <c r="B47" s="878" t="s">
        <v>67</v>
      </c>
      <c r="C47" s="879"/>
      <c r="D47" s="828" t="s">
        <v>429</v>
      </c>
      <c r="E47" s="828"/>
      <c r="F47" s="828" t="s">
        <v>587</v>
      </c>
      <c r="G47" s="828"/>
      <c r="H47" s="661">
        <v>1</v>
      </c>
      <c r="I47" s="631">
        <v>0</v>
      </c>
      <c r="J47" s="632">
        <f>'5-1 (가점)건설기술인 신규고용율'!F6</f>
        <v>1</v>
      </c>
      <c r="K47" s="663" t="s">
        <v>632</v>
      </c>
      <c r="L47" s="449"/>
    </row>
    <row r="48" spans="1:15" ht="61.5" customHeight="1">
      <c r="A48" s="871"/>
      <c r="B48" s="878"/>
      <c r="C48" s="879"/>
      <c r="D48" s="828" t="s">
        <v>588</v>
      </c>
      <c r="E48" s="828"/>
      <c r="F48" s="828" t="s">
        <v>589</v>
      </c>
      <c r="G48" s="828"/>
      <c r="H48" s="661">
        <v>1</v>
      </c>
      <c r="I48" s="631">
        <v>0</v>
      </c>
      <c r="J48" s="632">
        <f>'5-2 (가점)젊은기술인 참여비율'!F6</f>
        <v>0.79999999999999993</v>
      </c>
      <c r="K48" s="663" t="s">
        <v>632</v>
      </c>
      <c r="L48" s="449"/>
    </row>
    <row r="49" spans="1:12" ht="16.5" customHeight="1">
      <c r="A49" s="871"/>
      <c r="B49" s="878"/>
      <c r="C49" s="879"/>
      <c r="D49" s="895" t="s">
        <v>68</v>
      </c>
      <c r="E49" s="896"/>
      <c r="F49" s="896"/>
      <c r="G49" s="897"/>
      <c r="H49" s="112">
        <v>-2</v>
      </c>
      <c r="I49" s="631">
        <v>0</v>
      </c>
      <c r="J49" s="632">
        <f t="shared" ref="J49:J51" si="5">I49</f>
        <v>0</v>
      </c>
      <c r="K49" s="904" t="s">
        <v>633</v>
      </c>
      <c r="L49" s="449"/>
    </row>
    <row r="50" spans="1:12" ht="16.5" customHeight="1">
      <c r="A50" s="871"/>
      <c r="B50" s="946" t="s">
        <v>69</v>
      </c>
      <c r="C50" s="946"/>
      <c r="D50" s="907" t="s">
        <v>70</v>
      </c>
      <c r="E50" s="907"/>
      <c r="F50" s="907"/>
      <c r="G50" s="471">
        <v>-10</v>
      </c>
      <c r="H50" s="955">
        <v>-10</v>
      </c>
      <c r="I50" s="109">
        <v>0</v>
      </c>
      <c r="J50" s="632">
        <f t="shared" si="5"/>
        <v>0</v>
      </c>
      <c r="K50" s="905"/>
      <c r="L50" s="449"/>
    </row>
    <row r="51" spans="1:12" ht="16.5" customHeight="1">
      <c r="A51" s="871"/>
      <c r="B51" s="878"/>
      <c r="C51" s="878"/>
      <c r="D51" s="907" t="s">
        <v>71</v>
      </c>
      <c r="E51" s="907"/>
      <c r="F51" s="907"/>
      <c r="G51" s="471">
        <v>-1</v>
      </c>
      <c r="H51" s="956"/>
      <c r="I51" s="472">
        <v>0</v>
      </c>
      <c r="J51" s="632">
        <f t="shared" si="5"/>
        <v>0</v>
      </c>
      <c r="K51" s="905"/>
      <c r="L51" s="449"/>
    </row>
    <row r="52" spans="1:12" ht="16.5" customHeight="1">
      <c r="A52" s="871"/>
      <c r="B52" s="878"/>
      <c r="C52" s="878"/>
      <c r="D52" s="907" t="s">
        <v>465</v>
      </c>
      <c r="E52" s="907"/>
      <c r="F52" s="907"/>
      <c r="G52" s="471">
        <v>-3</v>
      </c>
      <c r="H52" s="956"/>
      <c r="I52" s="472">
        <v>0</v>
      </c>
      <c r="J52" s="588">
        <f>I52</f>
        <v>0</v>
      </c>
      <c r="K52" s="905"/>
      <c r="L52" s="449"/>
    </row>
    <row r="53" spans="1:12" ht="31.5" customHeight="1">
      <c r="A53" s="871"/>
      <c r="B53" s="878"/>
      <c r="C53" s="878"/>
      <c r="D53" s="954" t="s">
        <v>501</v>
      </c>
      <c r="E53" s="954"/>
      <c r="F53" s="954"/>
      <c r="G53" s="600">
        <v>-5</v>
      </c>
      <c r="H53" s="956"/>
      <c r="I53" s="590">
        <v>0</v>
      </c>
      <c r="J53" s="588">
        <f>I53</f>
        <v>0</v>
      </c>
      <c r="K53" s="905"/>
      <c r="L53" s="449"/>
    </row>
    <row r="54" spans="1:12" ht="36.75" customHeight="1">
      <c r="A54" s="871"/>
      <c r="B54" s="878"/>
      <c r="C54" s="878"/>
      <c r="D54" s="954" t="s">
        <v>502</v>
      </c>
      <c r="E54" s="954"/>
      <c r="F54" s="954"/>
      <c r="G54" s="600">
        <v>-3</v>
      </c>
      <c r="H54" s="957"/>
      <c r="I54" s="590">
        <v>0</v>
      </c>
      <c r="J54" s="588">
        <f>I54</f>
        <v>0</v>
      </c>
      <c r="K54" s="906"/>
      <c r="L54" s="449"/>
    </row>
    <row r="55" spans="1:12" ht="16.5" customHeight="1">
      <c r="A55" s="871"/>
      <c r="B55" s="881"/>
      <c r="C55" s="881"/>
      <c r="D55" s="947" t="s">
        <v>304</v>
      </c>
      <c r="E55" s="947"/>
      <c r="F55" s="947"/>
      <c r="G55" s="947"/>
      <c r="H55" s="947"/>
      <c r="I55" s="475">
        <f>IF((I50+I51+I52+I53+I54)&gt;=-10,(I50+I51+I52+I53+I54),-10)</f>
        <v>0</v>
      </c>
      <c r="J55" s="589">
        <f>IF((J50+J51+J52+J53+J54)&gt;=-10,(J50+J51+J52+J53+J54),-10)</f>
        <v>0</v>
      </c>
      <c r="K55" s="449"/>
      <c r="L55" s="449"/>
    </row>
    <row r="56" spans="1:12" ht="16.5" customHeight="1" thickBot="1">
      <c r="A56" s="872"/>
      <c r="B56" s="936" t="s">
        <v>629</v>
      </c>
      <c r="C56" s="936"/>
      <c r="D56" s="936"/>
      <c r="E56" s="936"/>
      <c r="F56" s="936"/>
      <c r="G56" s="936"/>
      <c r="H56" s="859"/>
      <c r="I56" s="88">
        <f>SUM(I47,I48,I49,I55)</f>
        <v>0</v>
      </c>
      <c r="J56" s="453">
        <f>SUM(J47,J48,J49,J55)</f>
        <v>1.7999999999999998</v>
      </c>
      <c r="K56" s="551"/>
      <c r="L56" s="451"/>
    </row>
    <row r="57" spans="1:12" ht="17.25" thickBot="1">
      <c r="A57" s="961" t="s">
        <v>72</v>
      </c>
      <c r="B57" s="962"/>
      <c r="C57" s="962"/>
      <c r="D57" s="962"/>
      <c r="E57" s="962"/>
      <c r="F57" s="962"/>
      <c r="G57" s="963"/>
      <c r="H57" s="456">
        <f>SUM(H38+H12+H10+H46)</f>
        <v>40</v>
      </c>
      <c r="I57" s="457">
        <f>MIN((I10+I38+I56+I46+I12),40)</f>
        <v>33.200000000000003</v>
      </c>
      <c r="J57" s="457">
        <f>J10+J38+J56+J46+J12</f>
        <v>33.647653333333338</v>
      </c>
      <c r="K57" s="533"/>
      <c r="L57" s="533"/>
    </row>
    <row r="58" spans="1:12">
      <c r="A58" s="937"/>
      <c r="B58" s="937"/>
      <c r="C58" s="937"/>
      <c r="D58" s="937"/>
      <c r="E58" s="937"/>
      <c r="F58" s="937"/>
      <c r="G58" s="937"/>
      <c r="H58" s="937"/>
      <c r="I58" s="937"/>
      <c r="J58" s="937"/>
      <c r="K58" s="937"/>
      <c r="L58" s="937"/>
    </row>
    <row r="59" spans="1:12">
      <c r="A59" s="937"/>
      <c r="B59" s="937"/>
      <c r="C59" s="937"/>
      <c r="D59" s="937"/>
      <c r="E59" s="937"/>
      <c r="F59" s="937"/>
      <c r="G59" s="937"/>
      <c r="H59" s="937"/>
      <c r="I59" s="937"/>
      <c r="J59" s="937"/>
      <c r="K59" s="937"/>
      <c r="L59" s="937"/>
    </row>
  </sheetData>
  <mergeCells count="110">
    <mergeCell ref="A1:K1"/>
    <mergeCell ref="A57:G57"/>
    <mergeCell ref="F48:G48"/>
    <mergeCell ref="H39:H42"/>
    <mergeCell ref="F41:G41"/>
    <mergeCell ref="B9:E9"/>
    <mergeCell ref="F9:G9"/>
    <mergeCell ref="H19:H21"/>
    <mergeCell ref="C28:D28"/>
    <mergeCell ref="E28:G28"/>
    <mergeCell ref="C29:G29"/>
    <mergeCell ref="C25:C27"/>
    <mergeCell ref="F25:G25"/>
    <mergeCell ref="A9:A10"/>
    <mergeCell ref="F26:G26"/>
    <mergeCell ref="F21:G21"/>
    <mergeCell ref="A2:C2"/>
    <mergeCell ref="A3:C3"/>
    <mergeCell ref="A4:C4"/>
    <mergeCell ref="A5:C5"/>
    <mergeCell ref="K4:K5"/>
    <mergeCell ref="B8:C8"/>
    <mergeCell ref="D8:E8"/>
    <mergeCell ref="F8:G8"/>
    <mergeCell ref="A58:L59"/>
    <mergeCell ref="B10:G10"/>
    <mergeCell ref="K13:K18"/>
    <mergeCell ref="B14:C14"/>
    <mergeCell ref="D14:E14"/>
    <mergeCell ref="F14:G14"/>
    <mergeCell ref="B56:H56"/>
    <mergeCell ref="B50:C55"/>
    <mergeCell ref="D55:H55"/>
    <mergeCell ref="D52:F52"/>
    <mergeCell ref="H25:H26"/>
    <mergeCell ref="D13:E13"/>
    <mergeCell ref="F13:G13"/>
    <mergeCell ref="E16:G16"/>
    <mergeCell ref="B17:C17"/>
    <mergeCell ref="F17:G17"/>
    <mergeCell ref="B15:C15"/>
    <mergeCell ref="F15:G15"/>
    <mergeCell ref="D54:F54"/>
    <mergeCell ref="H50:H54"/>
    <mergeCell ref="D53:F53"/>
    <mergeCell ref="I19:I21"/>
    <mergeCell ref="D35:E35"/>
    <mergeCell ref="F35:G35"/>
    <mergeCell ref="I3:J3"/>
    <mergeCell ref="I4:J5"/>
    <mergeCell ref="A6:C6"/>
    <mergeCell ref="B16:C16"/>
    <mergeCell ref="D16:D17"/>
    <mergeCell ref="D24:G24"/>
    <mergeCell ref="B18:C18"/>
    <mergeCell ref="D18:G18"/>
    <mergeCell ref="D20:D21"/>
    <mergeCell ref="E20:E21"/>
    <mergeCell ref="A11:A12"/>
    <mergeCell ref="B11:E11"/>
    <mergeCell ref="F11:G11"/>
    <mergeCell ref="B12:G12"/>
    <mergeCell ref="A13:A38"/>
    <mergeCell ref="F30:G30"/>
    <mergeCell ref="C32:C33"/>
    <mergeCell ref="F32:G32"/>
    <mergeCell ref="B39:E39"/>
    <mergeCell ref="B42:C42"/>
    <mergeCell ref="B40:C41"/>
    <mergeCell ref="F39:G39"/>
    <mergeCell ref="D33:G33"/>
    <mergeCell ref="B38:G38"/>
    <mergeCell ref="C34:C36"/>
    <mergeCell ref="D34:G34"/>
    <mergeCell ref="M6:M7"/>
    <mergeCell ref="B13:C13"/>
    <mergeCell ref="F23:G23"/>
    <mergeCell ref="C19:C21"/>
    <mergeCell ref="D27:G27"/>
    <mergeCell ref="F19:G19"/>
    <mergeCell ref="K49:K54"/>
    <mergeCell ref="D50:F50"/>
    <mergeCell ref="D51:F51"/>
    <mergeCell ref="H22:H23"/>
    <mergeCell ref="B19:B29"/>
    <mergeCell ref="F20:G20"/>
    <mergeCell ref="C22:C24"/>
    <mergeCell ref="F22:G22"/>
    <mergeCell ref="D36:G36"/>
    <mergeCell ref="C37:G37"/>
    <mergeCell ref="D31:G31"/>
    <mergeCell ref="K39:K42"/>
    <mergeCell ref="B47:C49"/>
    <mergeCell ref="D47:E47"/>
    <mergeCell ref="F47:G47"/>
    <mergeCell ref="F42:G42"/>
    <mergeCell ref="B30:B37"/>
    <mergeCell ref="C30:C31"/>
    <mergeCell ref="A47:A56"/>
    <mergeCell ref="A39:A42"/>
    <mergeCell ref="D48:E48"/>
    <mergeCell ref="A43:A46"/>
    <mergeCell ref="B46:G46"/>
    <mergeCell ref="B43:E45"/>
    <mergeCell ref="H43:H45"/>
    <mergeCell ref="I43:I45"/>
    <mergeCell ref="J43:J45"/>
    <mergeCell ref="F43:G45"/>
    <mergeCell ref="F40:G40"/>
    <mergeCell ref="D49:G49"/>
  </mergeCells>
  <phoneticPr fontId="2" type="noConversion"/>
  <conditionalFormatting sqref="I39:J43">
    <cfRule type="containsText" dxfId="13" priority="1" operator="containsText" text="실격">
      <formula>NOT(ISERROR(SEARCH("실격",I39)))</formula>
    </cfRule>
  </conditionalFormatting>
  <pageMargins left="7.874015748031496E-2" right="7.874015748031496E-2" top="7.874015748031496E-2" bottom="7.874015748031496E-2" header="0" footer="0"/>
  <pageSetup paperSize="8" scale="7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rgb="FF0000FF"/>
  </sheetPr>
  <dimension ref="A1:J17"/>
  <sheetViews>
    <sheetView showGridLines="0" view="pageBreakPreview" zoomScaleNormal="100" zoomScaleSheetLayoutView="100" workbookViewId="0">
      <selection activeCell="F10" sqref="F10"/>
    </sheetView>
  </sheetViews>
  <sheetFormatPr defaultRowHeight="13.5"/>
  <cols>
    <col min="1" max="1" width="8.375" style="23" customWidth="1"/>
    <col min="2" max="2" width="17.375" style="23" bestFit="1" customWidth="1"/>
    <col min="3" max="3" width="7.125" style="23" bestFit="1" customWidth="1"/>
    <col min="4" max="4" width="7.375" style="23" bestFit="1" customWidth="1"/>
    <col min="5" max="5" width="16.875" style="23" customWidth="1"/>
    <col min="6" max="6" width="39" style="23" customWidth="1"/>
    <col min="7" max="7" width="20.625" style="23" customWidth="1"/>
    <col min="8" max="8" width="9" style="23"/>
    <col min="9" max="9" width="5.5" style="23" bestFit="1" customWidth="1"/>
    <col min="10" max="256" width="9" style="23"/>
    <col min="257" max="257" width="8.375" style="23" customWidth="1"/>
    <col min="258" max="258" width="21.125" style="23" customWidth="1"/>
    <col min="259" max="259" width="18.625" style="23" bestFit="1" customWidth="1"/>
    <col min="260" max="260" width="11" style="23" customWidth="1"/>
    <col min="261" max="261" width="21" style="23" customWidth="1"/>
    <col min="262" max="262" width="9" style="23"/>
    <col min="263" max="263" width="17" style="23" bestFit="1" customWidth="1"/>
    <col min="264" max="512" width="9" style="23"/>
    <col min="513" max="513" width="8.375" style="23" customWidth="1"/>
    <col min="514" max="514" width="21.125" style="23" customWidth="1"/>
    <col min="515" max="515" width="18.625" style="23" bestFit="1" customWidth="1"/>
    <col min="516" max="516" width="11" style="23" customWidth="1"/>
    <col min="517" max="517" width="21" style="23" customWidth="1"/>
    <col min="518" max="518" width="9" style="23"/>
    <col min="519" max="519" width="17" style="23" bestFit="1" customWidth="1"/>
    <col min="520" max="768" width="9" style="23"/>
    <col min="769" max="769" width="8.375" style="23" customWidth="1"/>
    <col min="770" max="770" width="21.125" style="23" customWidth="1"/>
    <col min="771" max="771" width="18.625" style="23" bestFit="1" customWidth="1"/>
    <col min="772" max="772" width="11" style="23" customWidth="1"/>
    <col min="773" max="773" width="21" style="23" customWidth="1"/>
    <col min="774" max="774" width="9" style="23"/>
    <col min="775" max="775" width="17" style="23" bestFit="1" customWidth="1"/>
    <col min="776" max="1024" width="9" style="23"/>
    <col min="1025" max="1025" width="8.375" style="23" customWidth="1"/>
    <col min="1026" max="1026" width="21.125" style="23" customWidth="1"/>
    <col min="1027" max="1027" width="18.625" style="23" bestFit="1" customWidth="1"/>
    <col min="1028" max="1028" width="11" style="23" customWidth="1"/>
    <col min="1029" max="1029" width="21" style="23" customWidth="1"/>
    <col min="1030" max="1030" width="9" style="23"/>
    <col min="1031" max="1031" width="17" style="23" bestFit="1" customWidth="1"/>
    <col min="1032" max="1280" width="9" style="23"/>
    <col min="1281" max="1281" width="8.375" style="23" customWidth="1"/>
    <col min="1282" max="1282" width="21.125" style="23" customWidth="1"/>
    <col min="1283" max="1283" width="18.625" style="23" bestFit="1" customWidth="1"/>
    <col min="1284" max="1284" width="11" style="23" customWidth="1"/>
    <col min="1285" max="1285" width="21" style="23" customWidth="1"/>
    <col min="1286" max="1286" width="9" style="23"/>
    <col min="1287" max="1287" width="17" style="23" bestFit="1" customWidth="1"/>
    <col min="1288" max="1536" width="9" style="23"/>
    <col min="1537" max="1537" width="8.375" style="23" customWidth="1"/>
    <col min="1538" max="1538" width="21.125" style="23" customWidth="1"/>
    <col min="1539" max="1539" width="18.625" style="23" bestFit="1" customWidth="1"/>
    <col min="1540" max="1540" width="11" style="23" customWidth="1"/>
    <col min="1541" max="1541" width="21" style="23" customWidth="1"/>
    <col min="1542" max="1542" width="9" style="23"/>
    <col min="1543" max="1543" width="17" style="23" bestFit="1" customWidth="1"/>
    <col min="1544" max="1792" width="9" style="23"/>
    <col min="1793" max="1793" width="8.375" style="23" customWidth="1"/>
    <col min="1794" max="1794" width="21.125" style="23" customWidth="1"/>
    <col min="1795" max="1795" width="18.625" style="23" bestFit="1" customWidth="1"/>
    <col min="1796" max="1796" width="11" style="23" customWidth="1"/>
    <col min="1797" max="1797" width="21" style="23" customWidth="1"/>
    <col min="1798" max="1798" width="9" style="23"/>
    <col min="1799" max="1799" width="17" style="23" bestFit="1" customWidth="1"/>
    <col min="1800" max="2048" width="9" style="23"/>
    <col min="2049" max="2049" width="8.375" style="23" customWidth="1"/>
    <col min="2050" max="2050" width="21.125" style="23" customWidth="1"/>
    <col min="2051" max="2051" width="18.625" style="23" bestFit="1" customWidth="1"/>
    <col min="2052" max="2052" width="11" style="23" customWidth="1"/>
    <col min="2053" max="2053" width="21" style="23" customWidth="1"/>
    <col min="2054" max="2054" width="9" style="23"/>
    <col min="2055" max="2055" width="17" style="23" bestFit="1" customWidth="1"/>
    <col min="2056" max="2304" width="9" style="23"/>
    <col min="2305" max="2305" width="8.375" style="23" customWidth="1"/>
    <col min="2306" max="2306" width="21.125" style="23" customWidth="1"/>
    <col min="2307" max="2307" width="18.625" style="23" bestFit="1" customWidth="1"/>
    <col min="2308" max="2308" width="11" style="23" customWidth="1"/>
    <col min="2309" max="2309" width="21" style="23" customWidth="1"/>
    <col min="2310" max="2310" width="9" style="23"/>
    <col min="2311" max="2311" width="17" style="23" bestFit="1" customWidth="1"/>
    <col min="2312" max="2560" width="9" style="23"/>
    <col min="2561" max="2561" width="8.375" style="23" customWidth="1"/>
    <col min="2562" max="2562" width="21.125" style="23" customWidth="1"/>
    <col min="2563" max="2563" width="18.625" style="23" bestFit="1" customWidth="1"/>
    <col min="2564" max="2564" width="11" style="23" customWidth="1"/>
    <col min="2565" max="2565" width="21" style="23" customWidth="1"/>
    <col min="2566" max="2566" width="9" style="23"/>
    <col min="2567" max="2567" width="17" style="23" bestFit="1" customWidth="1"/>
    <col min="2568" max="2816" width="9" style="23"/>
    <col min="2817" max="2817" width="8.375" style="23" customWidth="1"/>
    <col min="2818" max="2818" width="21.125" style="23" customWidth="1"/>
    <col min="2819" max="2819" width="18.625" style="23" bestFit="1" customWidth="1"/>
    <col min="2820" max="2820" width="11" style="23" customWidth="1"/>
    <col min="2821" max="2821" width="21" style="23" customWidth="1"/>
    <col min="2822" max="2822" width="9" style="23"/>
    <col min="2823" max="2823" width="17" style="23" bestFit="1" customWidth="1"/>
    <col min="2824" max="3072" width="9" style="23"/>
    <col min="3073" max="3073" width="8.375" style="23" customWidth="1"/>
    <col min="3074" max="3074" width="21.125" style="23" customWidth="1"/>
    <col min="3075" max="3075" width="18.625" style="23" bestFit="1" customWidth="1"/>
    <col min="3076" max="3076" width="11" style="23" customWidth="1"/>
    <col min="3077" max="3077" width="21" style="23" customWidth="1"/>
    <col min="3078" max="3078" width="9" style="23"/>
    <col min="3079" max="3079" width="17" style="23" bestFit="1" customWidth="1"/>
    <col min="3080" max="3328" width="9" style="23"/>
    <col min="3329" max="3329" width="8.375" style="23" customWidth="1"/>
    <col min="3330" max="3330" width="21.125" style="23" customWidth="1"/>
    <col min="3331" max="3331" width="18.625" style="23" bestFit="1" customWidth="1"/>
    <col min="3332" max="3332" width="11" style="23" customWidth="1"/>
    <col min="3333" max="3333" width="21" style="23" customWidth="1"/>
    <col min="3334" max="3334" width="9" style="23"/>
    <col min="3335" max="3335" width="17" style="23" bestFit="1" customWidth="1"/>
    <col min="3336" max="3584" width="9" style="23"/>
    <col min="3585" max="3585" width="8.375" style="23" customWidth="1"/>
    <col min="3586" max="3586" width="21.125" style="23" customWidth="1"/>
    <col min="3587" max="3587" width="18.625" style="23" bestFit="1" customWidth="1"/>
    <col min="3588" max="3588" width="11" style="23" customWidth="1"/>
    <col min="3589" max="3589" width="21" style="23" customWidth="1"/>
    <col min="3590" max="3590" width="9" style="23"/>
    <col min="3591" max="3591" width="17" style="23" bestFit="1" customWidth="1"/>
    <col min="3592" max="3840" width="9" style="23"/>
    <col min="3841" max="3841" width="8.375" style="23" customWidth="1"/>
    <col min="3842" max="3842" width="21.125" style="23" customWidth="1"/>
    <col min="3843" max="3843" width="18.625" style="23" bestFit="1" customWidth="1"/>
    <col min="3844" max="3844" width="11" style="23" customWidth="1"/>
    <col min="3845" max="3845" width="21" style="23" customWidth="1"/>
    <col min="3846" max="3846" width="9" style="23"/>
    <col min="3847" max="3847" width="17" style="23" bestFit="1" customWidth="1"/>
    <col min="3848" max="4096" width="9" style="23"/>
    <col min="4097" max="4097" width="8.375" style="23" customWidth="1"/>
    <col min="4098" max="4098" width="21.125" style="23" customWidth="1"/>
    <col min="4099" max="4099" width="18.625" style="23" bestFit="1" customWidth="1"/>
    <col min="4100" max="4100" width="11" style="23" customWidth="1"/>
    <col min="4101" max="4101" width="21" style="23" customWidth="1"/>
    <col min="4102" max="4102" width="9" style="23"/>
    <col min="4103" max="4103" width="17" style="23" bestFit="1" customWidth="1"/>
    <col min="4104" max="4352" width="9" style="23"/>
    <col min="4353" max="4353" width="8.375" style="23" customWidth="1"/>
    <col min="4354" max="4354" width="21.125" style="23" customWidth="1"/>
    <col min="4355" max="4355" width="18.625" style="23" bestFit="1" customWidth="1"/>
    <col min="4356" max="4356" width="11" style="23" customWidth="1"/>
    <col min="4357" max="4357" width="21" style="23" customWidth="1"/>
    <col min="4358" max="4358" width="9" style="23"/>
    <col min="4359" max="4359" width="17" style="23" bestFit="1" customWidth="1"/>
    <col min="4360" max="4608" width="9" style="23"/>
    <col min="4609" max="4609" width="8.375" style="23" customWidth="1"/>
    <col min="4610" max="4610" width="21.125" style="23" customWidth="1"/>
    <col min="4611" max="4611" width="18.625" style="23" bestFit="1" customWidth="1"/>
    <col min="4612" max="4612" width="11" style="23" customWidth="1"/>
    <col min="4613" max="4613" width="21" style="23" customWidth="1"/>
    <col min="4614" max="4614" width="9" style="23"/>
    <col min="4615" max="4615" width="17" style="23" bestFit="1" customWidth="1"/>
    <col min="4616" max="4864" width="9" style="23"/>
    <col min="4865" max="4865" width="8.375" style="23" customWidth="1"/>
    <col min="4866" max="4866" width="21.125" style="23" customWidth="1"/>
    <col min="4867" max="4867" width="18.625" style="23" bestFit="1" customWidth="1"/>
    <col min="4868" max="4868" width="11" style="23" customWidth="1"/>
    <col min="4869" max="4869" width="21" style="23" customWidth="1"/>
    <col min="4870" max="4870" width="9" style="23"/>
    <col min="4871" max="4871" width="17" style="23" bestFit="1" customWidth="1"/>
    <col min="4872" max="5120" width="9" style="23"/>
    <col min="5121" max="5121" width="8.375" style="23" customWidth="1"/>
    <col min="5122" max="5122" width="21.125" style="23" customWidth="1"/>
    <col min="5123" max="5123" width="18.625" style="23" bestFit="1" customWidth="1"/>
    <col min="5124" max="5124" width="11" style="23" customWidth="1"/>
    <col min="5125" max="5125" width="21" style="23" customWidth="1"/>
    <col min="5126" max="5126" width="9" style="23"/>
    <col min="5127" max="5127" width="17" style="23" bestFit="1" customWidth="1"/>
    <col min="5128" max="5376" width="9" style="23"/>
    <col min="5377" max="5377" width="8.375" style="23" customWidth="1"/>
    <col min="5378" max="5378" width="21.125" style="23" customWidth="1"/>
    <col min="5379" max="5379" width="18.625" style="23" bestFit="1" customWidth="1"/>
    <col min="5380" max="5380" width="11" style="23" customWidth="1"/>
    <col min="5381" max="5381" width="21" style="23" customWidth="1"/>
    <col min="5382" max="5382" width="9" style="23"/>
    <col min="5383" max="5383" width="17" style="23" bestFit="1" customWidth="1"/>
    <col min="5384" max="5632" width="9" style="23"/>
    <col min="5633" max="5633" width="8.375" style="23" customWidth="1"/>
    <col min="5634" max="5634" width="21.125" style="23" customWidth="1"/>
    <col min="5635" max="5635" width="18.625" style="23" bestFit="1" customWidth="1"/>
    <col min="5636" max="5636" width="11" style="23" customWidth="1"/>
    <col min="5637" max="5637" width="21" style="23" customWidth="1"/>
    <col min="5638" max="5638" width="9" style="23"/>
    <col min="5639" max="5639" width="17" style="23" bestFit="1" customWidth="1"/>
    <col min="5640" max="5888" width="9" style="23"/>
    <col min="5889" max="5889" width="8.375" style="23" customWidth="1"/>
    <col min="5890" max="5890" width="21.125" style="23" customWidth="1"/>
    <col min="5891" max="5891" width="18.625" style="23" bestFit="1" customWidth="1"/>
    <col min="5892" max="5892" width="11" style="23" customWidth="1"/>
    <col min="5893" max="5893" width="21" style="23" customWidth="1"/>
    <col min="5894" max="5894" width="9" style="23"/>
    <col min="5895" max="5895" width="17" style="23" bestFit="1" customWidth="1"/>
    <col min="5896" max="6144" width="9" style="23"/>
    <col min="6145" max="6145" width="8.375" style="23" customWidth="1"/>
    <col min="6146" max="6146" width="21.125" style="23" customWidth="1"/>
    <col min="6147" max="6147" width="18.625" style="23" bestFit="1" customWidth="1"/>
    <col min="6148" max="6148" width="11" style="23" customWidth="1"/>
    <col min="6149" max="6149" width="21" style="23" customWidth="1"/>
    <col min="6150" max="6150" width="9" style="23"/>
    <col min="6151" max="6151" width="17" style="23" bestFit="1" customWidth="1"/>
    <col min="6152" max="6400" width="9" style="23"/>
    <col min="6401" max="6401" width="8.375" style="23" customWidth="1"/>
    <col min="6402" max="6402" width="21.125" style="23" customWidth="1"/>
    <col min="6403" max="6403" width="18.625" style="23" bestFit="1" customWidth="1"/>
    <col min="6404" max="6404" width="11" style="23" customWidth="1"/>
    <col min="6405" max="6405" width="21" style="23" customWidth="1"/>
    <col min="6406" max="6406" width="9" style="23"/>
    <col min="6407" max="6407" width="17" style="23" bestFit="1" customWidth="1"/>
    <col min="6408" max="6656" width="9" style="23"/>
    <col min="6657" max="6657" width="8.375" style="23" customWidth="1"/>
    <col min="6658" max="6658" width="21.125" style="23" customWidth="1"/>
    <col min="6659" max="6659" width="18.625" style="23" bestFit="1" customWidth="1"/>
    <col min="6660" max="6660" width="11" style="23" customWidth="1"/>
    <col min="6661" max="6661" width="21" style="23" customWidth="1"/>
    <col min="6662" max="6662" width="9" style="23"/>
    <col min="6663" max="6663" width="17" style="23" bestFit="1" customWidth="1"/>
    <col min="6664" max="6912" width="9" style="23"/>
    <col min="6913" max="6913" width="8.375" style="23" customWidth="1"/>
    <col min="6914" max="6914" width="21.125" style="23" customWidth="1"/>
    <col min="6915" max="6915" width="18.625" style="23" bestFit="1" customWidth="1"/>
    <col min="6916" max="6916" width="11" style="23" customWidth="1"/>
    <col min="6917" max="6917" width="21" style="23" customWidth="1"/>
    <col min="6918" max="6918" width="9" style="23"/>
    <col min="6919" max="6919" width="17" style="23" bestFit="1" customWidth="1"/>
    <col min="6920" max="7168" width="9" style="23"/>
    <col min="7169" max="7169" width="8.375" style="23" customWidth="1"/>
    <col min="7170" max="7170" width="21.125" style="23" customWidth="1"/>
    <col min="7171" max="7171" width="18.625" style="23" bestFit="1" customWidth="1"/>
    <col min="7172" max="7172" width="11" style="23" customWidth="1"/>
    <col min="7173" max="7173" width="21" style="23" customWidth="1"/>
    <col min="7174" max="7174" width="9" style="23"/>
    <col min="7175" max="7175" width="17" style="23" bestFit="1" customWidth="1"/>
    <col min="7176" max="7424" width="9" style="23"/>
    <col min="7425" max="7425" width="8.375" style="23" customWidth="1"/>
    <col min="7426" max="7426" width="21.125" style="23" customWidth="1"/>
    <col min="7427" max="7427" width="18.625" style="23" bestFit="1" customWidth="1"/>
    <col min="7428" max="7428" width="11" style="23" customWidth="1"/>
    <col min="7429" max="7429" width="21" style="23" customWidth="1"/>
    <col min="7430" max="7430" width="9" style="23"/>
    <col min="7431" max="7431" width="17" style="23" bestFit="1" customWidth="1"/>
    <col min="7432" max="7680" width="9" style="23"/>
    <col min="7681" max="7681" width="8.375" style="23" customWidth="1"/>
    <col min="7682" max="7682" width="21.125" style="23" customWidth="1"/>
    <col min="7683" max="7683" width="18.625" style="23" bestFit="1" customWidth="1"/>
    <col min="7684" max="7684" width="11" style="23" customWidth="1"/>
    <col min="7685" max="7685" width="21" style="23" customWidth="1"/>
    <col min="7686" max="7686" width="9" style="23"/>
    <col min="7687" max="7687" width="17" style="23" bestFit="1" customWidth="1"/>
    <col min="7688" max="7936" width="9" style="23"/>
    <col min="7937" max="7937" width="8.375" style="23" customWidth="1"/>
    <col min="7938" max="7938" width="21.125" style="23" customWidth="1"/>
    <col min="7939" max="7939" width="18.625" style="23" bestFit="1" customWidth="1"/>
    <col min="7940" max="7940" width="11" style="23" customWidth="1"/>
    <col min="7941" max="7941" width="21" style="23" customWidth="1"/>
    <col min="7942" max="7942" width="9" style="23"/>
    <col min="7943" max="7943" width="17" style="23" bestFit="1" customWidth="1"/>
    <col min="7944" max="8192" width="9" style="23"/>
    <col min="8193" max="8193" width="8.375" style="23" customWidth="1"/>
    <col min="8194" max="8194" width="21.125" style="23" customWidth="1"/>
    <col min="8195" max="8195" width="18.625" style="23" bestFit="1" customWidth="1"/>
    <col min="8196" max="8196" width="11" style="23" customWidth="1"/>
    <col min="8197" max="8197" width="21" style="23" customWidth="1"/>
    <col min="8198" max="8198" width="9" style="23"/>
    <col min="8199" max="8199" width="17" style="23" bestFit="1" customWidth="1"/>
    <col min="8200" max="8448" width="9" style="23"/>
    <col min="8449" max="8449" width="8.375" style="23" customWidth="1"/>
    <col min="8450" max="8450" width="21.125" style="23" customWidth="1"/>
    <col min="8451" max="8451" width="18.625" style="23" bestFit="1" customWidth="1"/>
    <col min="8452" max="8452" width="11" style="23" customWidth="1"/>
    <col min="8453" max="8453" width="21" style="23" customWidth="1"/>
    <col min="8454" max="8454" width="9" style="23"/>
    <col min="8455" max="8455" width="17" style="23" bestFit="1" customWidth="1"/>
    <col min="8456" max="8704" width="9" style="23"/>
    <col min="8705" max="8705" width="8.375" style="23" customWidth="1"/>
    <col min="8706" max="8706" width="21.125" style="23" customWidth="1"/>
    <col min="8707" max="8707" width="18.625" style="23" bestFit="1" customWidth="1"/>
    <col min="8708" max="8708" width="11" style="23" customWidth="1"/>
    <col min="8709" max="8709" width="21" style="23" customWidth="1"/>
    <col min="8710" max="8710" width="9" style="23"/>
    <col min="8711" max="8711" width="17" style="23" bestFit="1" customWidth="1"/>
    <col min="8712" max="8960" width="9" style="23"/>
    <col min="8961" max="8961" width="8.375" style="23" customWidth="1"/>
    <col min="8962" max="8962" width="21.125" style="23" customWidth="1"/>
    <col min="8963" max="8963" width="18.625" style="23" bestFit="1" customWidth="1"/>
    <col min="8964" max="8964" width="11" style="23" customWidth="1"/>
    <col min="8965" max="8965" width="21" style="23" customWidth="1"/>
    <col min="8966" max="8966" width="9" style="23"/>
    <col min="8967" max="8967" width="17" style="23" bestFit="1" customWidth="1"/>
    <col min="8968" max="9216" width="9" style="23"/>
    <col min="9217" max="9217" width="8.375" style="23" customWidth="1"/>
    <col min="9218" max="9218" width="21.125" style="23" customWidth="1"/>
    <col min="9219" max="9219" width="18.625" style="23" bestFit="1" customWidth="1"/>
    <col min="9220" max="9220" width="11" style="23" customWidth="1"/>
    <col min="9221" max="9221" width="21" style="23" customWidth="1"/>
    <col min="9222" max="9222" width="9" style="23"/>
    <col min="9223" max="9223" width="17" style="23" bestFit="1" customWidth="1"/>
    <col min="9224" max="9472" width="9" style="23"/>
    <col min="9473" max="9473" width="8.375" style="23" customWidth="1"/>
    <col min="9474" max="9474" width="21.125" style="23" customWidth="1"/>
    <col min="9475" max="9475" width="18.625" style="23" bestFit="1" customWidth="1"/>
    <col min="9476" max="9476" width="11" style="23" customWidth="1"/>
    <col min="9477" max="9477" width="21" style="23" customWidth="1"/>
    <col min="9478" max="9478" width="9" style="23"/>
    <col min="9479" max="9479" width="17" style="23" bestFit="1" customWidth="1"/>
    <col min="9480" max="9728" width="9" style="23"/>
    <col min="9729" max="9729" width="8.375" style="23" customWidth="1"/>
    <col min="9730" max="9730" width="21.125" style="23" customWidth="1"/>
    <col min="9731" max="9731" width="18.625" style="23" bestFit="1" customWidth="1"/>
    <col min="9732" max="9732" width="11" style="23" customWidth="1"/>
    <col min="9733" max="9733" width="21" style="23" customWidth="1"/>
    <col min="9734" max="9734" width="9" style="23"/>
    <col min="9735" max="9735" width="17" style="23" bestFit="1" customWidth="1"/>
    <col min="9736" max="9984" width="9" style="23"/>
    <col min="9985" max="9985" width="8.375" style="23" customWidth="1"/>
    <col min="9986" max="9986" width="21.125" style="23" customWidth="1"/>
    <col min="9987" max="9987" width="18.625" style="23" bestFit="1" customWidth="1"/>
    <col min="9988" max="9988" width="11" style="23" customWidth="1"/>
    <col min="9989" max="9989" width="21" style="23" customWidth="1"/>
    <col min="9990" max="9990" width="9" style="23"/>
    <col min="9991" max="9991" width="17" style="23" bestFit="1" customWidth="1"/>
    <col min="9992" max="10240" width="9" style="23"/>
    <col min="10241" max="10241" width="8.375" style="23" customWidth="1"/>
    <col min="10242" max="10242" width="21.125" style="23" customWidth="1"/>
    <col min="10243" max="10243" width="18.625" style="23" bestFit="1" customWidth="1"/>
    <col min="10244" max="10244" width="11" style="23" customWidth="1"/>
    <col min="10245" max="10245" width="21" style="23" customWidth="1"/>
    <col min="10246" max="10246" width="9" style="23"/>
    <col min="10247" max="10247" width="17" style="23" bestFit="1" customWidth="1"/>
    <col min="10248" max="10496" width="9" style="23"/>
    <col min="10497" max="10497" width="8.375" style="23" customWidth="1"/>
    <col min="10498" max="10498" width="21.125" style="23" customWidth="1"/>
    <col min="10499" max="10499" width="18.625" style="23" bestFit="1" customWidth="1"/>
    <col min="10500" max="10500" width="11" style="23" customWidth="1"/>
    <col min="10501" max="10501" width="21" style="23" customWidth="1"/>
    <col min="10502" max="10502" width="9" style="23"/>
    <col min="10503" max="10503" width="17" style="23" bestFit="1" customWidth="1"/>
    <col min="10504" max="10752" width="9" style="23"/>
    <col min="10753" max="10753" width="8.375" style="23" customWidth="1"/>
    <col min="10754" max="10754" width="21.125" style="23" customWidth="1"/>
    <col min="10755" max="10755" width="18.625" style="23" bestFit="1" customWidth="1"/>
    <col min="10756" max="10756" width="11" style="23" customWidth="1"/>
    <col min="10757" max="10757" width="21" style="23" customWidth="1"/>
    <col min="10758" max="10758" width="9" style="23"/>
    <col min="10759" max="10759" width="17" style="23" bestFit="1" customWidth="1"/>
    <col min="10760" max="11008" width="9" style="23"/>
    <col min="11009" max="11009" width="8.375" style="23" customWidth="1"/>
    <col min="11010" max="11010" width="21.125" style="23" customWidth="1"/>
    <col min="11011" max="11011" width="18.625" style="23" bestFit="1" customWidth="1"/>
    <col min="11012" max="11012" width="11" style="23" customWidth="1"/>
    <col min="11013" max="11013" width="21" style="23" customWidth="1"/>
    <col min="11014" max="11014" width="9" style="23"/>
    <col min="11015" max="11015" width="17" style="23" bestFit="1" customWidth="1"/>
    <col min="11016" max="11264" width="9" style="23"/>
    <col min="11265" max="11265" width="8.375" style="23" customWidth="1"/>
    <col min="11266" max="11266" width="21.125" style="23" customWidth="1"/>
    <col min="11267" max="11267" width="18.625" style="23" bestFit="1" customWidth="1"/>
    <col min="11268" max="11268" width="11" style="23" customWidth="1"/>
    <col min="11269" max="11269" width="21" style="23" customWidth="1"/>
    <col min="11270" max="11270" width="9" style="23"/>
    <col min="11271" max="11271" width="17" style="23" bestFit="1" customWidth="1"/>
    <col min="11272" max="11520" width="9" style="23"/>
    <col min="11521" max="11521" width="8.375" style="23" customWidth="1"/>
    <col min="11522" max="11522" width="21.125" style="23" customWidth="1"/>
    <col min="11523" max="11523" width="18.625" style="23" bestFit="1" customWidth="1"/>
    <col min="11524" max="11524" width="11" style="23" customWidth="1"/>
    <col min="11525" max="11525" width="21" style="23" customWidth="1"/>
    <col min="11526" max="11526" width="9" style="23"/>
    <col min="11527" max="11527" width="17" style="23" bestFit="1" customWidth="1"/>
    <col min="11528" max="11776" width="9" style="23"/>
    <col min="11777" max="11777" width="8.375" style="23" customWidth="1"/>
    <col min="11778" max="11778" width="21.125" style="23" customWidth="1"/>
    <col min="11779" max="11779" width="18.625" style="23" bestFit="1" customWidth="1"/>
    <col min="11780" max="11780" width="11" style="23" customWidth="1"/>
    <col min="11781" max="11781" width="21" style="23" customWidth="1"/>
    <col min="11782" max="11782" width="9" style="23"/>
    <col min="11783" max="11783" width="17" style="23" bestFit="1" customWidth="1"/>
    <col min="11784" max="12032" width="9" style="23"/>
    <col min="12033" max="12033" width="8.375" style="23" customWidth="1"/>
    <col min="12034" max="12034" width="21.125" style="23" customWidth="1"/>
    <col min="12035" max="12035" width="18.625" style="23" bestFit="1" customWidth="1"/>
    <col min="12036" max="12036" width="11" style="23" customWidth="1"/>
    <col min="12037" max="12037" width="21" style="23" customWidth="1"/>
    <col min="12038" max="12038" width="9" style="23"/>
    <col min="12039" max="12039" width="17" style="23" bestFit="1" customWidth="1"/>
    <col min="12040" max="12288" width="9" style="23"/>
    <col min="12289" max="12289" width="8.375" style="23" customWidth="1"/>
    <col min="12290" max="12290" width="21.125" style="23" customWidth="1"/>
    <col min="12291" max="12291" width="18.625" style="23" bestFit="1" customWidth="1"/>
    <col min="12292" max="12292" width="11" style="23" customWidth="1"/>
    <col min="12293" max="12293" width="21" style="23" customWidth="1"/>
    <col min="12294" max="12294" width="9" style="23"/>
    <col min="12295" max="12295" width="17" style="23" bestFit="1" customWidth="1"/>
    <col min="12296" max="12544" width="9" style="23"/>
    <col min="12545" max="12545" width="8.375" style="23" customWidth="1"/>
    <col min="12546" max="12546" width="21.125" style="23" customWidth="1"/>
    <col min="12547" max="12547" width="18.625" style="23" bestFit="1" customWidth="1"/>
    <col min="12548" max="12548" width="11" style="23" customWidth="1"/>
    <col min="12549" max="12549" width="21" style="23" customWidth="1"/>
    <col min="12550" max="12550" width="9" style="23"/>
    <col min="12551" max="12551" width="17" style="23" bestFit="1" customWidth="1"/>
    <col min="12552" max="12800" width="9" style="23"/>
    <col min="12801" max="12801" width="8.375" style="23" customWidth="1"/>
    <col min="12802" max="12802" width="21.125" style="23" customWidth="1"/>
    <col min="12803" max="12803" width="18.625" style="23" bestFit="1" customWidth="1"/>
    <col min="12804" max="12804" width="11" style="23" customWidth="1"/>
    <col min="12805" max="12805" width="21" style="23" customWidth="1"/>
    <col min="12806" max="12806" width="9" style="23"/>
    <col min="12807" max="12807" width="17" style="23" bestFit="1" customWidth="1"/>
    <col min="12808" max="13056" width="9" style="23"/>
    <col min="13057" max="13057" width="8.375" style="23" customWidth="1"/>
    <col min="13058" max="13058" width="21.125" style="23" customWidth="1"/>
    <col min="13059" max="13059" width="18.625" style="23" bestFit="1" customWidth="1"/>
    <col min="13060" max="13060" width="11" style="23" customWidth="1"/>
    <col min="13061" max="13061" width="21" style="23" customWidth="1"/>
    <col min="13062" max="13062" width="9" style="23"/>
    <col min="13063" max="13063" width="17" style="23" bestFit="1" customWidth="1"/>
    <col min="13064" max="13312" width="9" style="23"/>
    <col min="13313" max="13313" width="8.375" style="23" customWidth="1"/>
    <col min="13314" max="13314" width="21.125" style="23" customWidth="1"/>
    <col min="13315" max="13315" width="18.625" style="23" bestFit="1" customWidth="1"/>
    <col min="13316" max="13316" width="11" style="23" customWidth="1"/>
    <col min="13317" max="13317" width="21" style="23" customWidth="1"/>
    <col min="13318" max="13318" width="9" style="23"/>
    <col min="13319" max="13319" width="17" style="23" bestFit="1" customWidth="1"/>
    <col min="13320" max="13568" width="9" style="23"/>
    <col min="13569" max="13569" width="8.375" style="23" customWidth="1"/>
    <col min="13570" max="13570" width="21.125" style="23" customWidth="1"/>
    <col min="13571" max="13571" width="18.625" style="23" bestFit="1" customWidth="1"/>
    <col min="13572" max="13572" width="11" style="23" customWidth="1"/>
    <col min="13573" max="13573" width="21" style="23" customWidth="1"/>
    <col min="13574" max="13574" width="9" style="23"/>
    <col min="13575" max="13575" width="17" style="23" bestFit="1" customWidth="1"/>
    <col min="13576" max="13824" width="9" style="23"/>
    <col min="13825" max="13825" width="8.375" style="23" customWidth="1"/>
    <col min="13826" max="13826" width="21.125" style="23" customWidth="1"/>
    <col min="13827" max="13827" width="18.625" style="23" bestFit="1" customWidth="1"/>
    <col min="13828" max="13828" width="11" style="23" customWidth="1"/>
    <col min="13829" max="13829" width="21" style="23" customWidth="1"/>
    <col min="13830" max="13830" width="9" style="23"/>
    <col min="13831" max="13831" width="17" style="23" bestFit="1" customWidth="1"/>
    <col min="13832" max="14080" width="9" style="23"/>
    <col min="14081" max="14081" width="8.375" style="23" customWidth="1"/>
    <col min="14082" max="14082" width="21.125" style="23" customWidth="1"/>
    <col min="14083" max="14083" width="18.625" style="23" bestFit="1" customWidth="1"/>
    <col min="14084" max="14084" width="11" style="23" customWidth="1"/>
    <col min="14085" max="14085" width="21" style="23" customWidth="1"/>
    <col min="14086" max="14086" width="9" style="23"/>
    <col min="14087" max="14087" width="17" style="23" bestFit="1" customWidth="1"/>
    <col min="14088" max="14336" width="9" style="23"/>
    <col min="14337" max="14337" width="8.375" style="23" customWidth="1"/>
    <col min="14338" max="14338" width="21.125" style="23" customWidth="1"/>
    <col min="14339" max="14339" width="18.625" style="23" bestFit="1" customWidth="1"/>
    <col min="14340" max="14340" width="11" style="23" customWidth="1"/>
    <col min="14341" max="14341" width="21" style="23" customWidth="1"/>
    <col min="14342" max="14342" width="9" style="23"/>
    <col min="14343" max="14343" width="17" style="23" bestFit="1" customWidth="1"/>
    <col min="14344" max="14592" width="9" style="23"/>
    <col min="14593" max="14593" width="8.375" style="23" customWidth="1"/>
    <col min="14594" max="14594" width="21.125" style="23" customWidth="1"/>
    <col min="14595" max="14595" width="18.625" style="23" bestFit="1" customWidth="1"/>
    <col min="14596" max="14596" width="11" style="23" customWidth="1"/>
    <col min="14597" max="14597" width="21" style="23" customWidth="1"/>
    <col min="14598" max="14598" width="9" style="23"/>
    <col min="14599" max="14599" width="17" style="23" bestFit="1" customWidth="1"/>
    <col min="14600" max="14848" width="9" style="23"/>
    <col min="14849" max="14849" width="8.375" style="23" customWidth="1"/>
    <col min="14850" max="14850" width="21.125" style="23" customWidth="1"/>
    <col min="14851" max="14851" width="18.625" style="23" bestFit="1" customWidth="1"/>
    <col min="14852" max="14852" width="11" style="23" customWidth="1"/>
    <col min="14853" max="14853" width="21" style="23" customWidth="1"/>
    <col min="14854" max="14854" width="9" style="23"/>
    <col min="14855" max="14855" width="17" style="23" bestFit="1" customWidth="1"/>
    <col min="14856" max="15104" width="9" style="23"/>
    <col min="15105" max="15105" width="8.375" style="23" customWidth="1"/>
    <col min="15106" max="15106" width="21.125" style="23" customWidth="1"/>
    <col min="15107" max="15107" width="18.625" style="23" bestFit="1" customWidth="1"/>
    <col min="15108" max="15108" width="11" style="23" customWidth="1"/>
    <col min="15109" max="15109" width="21" style="23" customWidth="1"/>
    <col min="15110" max="15110" width="9" style="23"/>
    <col min="15111" max="15111" width="17" style="23" bestFit="1" customWidth="1"/>
    <col min="15112" max="15360" width="9" style="23"/>
    <col min="15361" max="15361" width="8.375" style="23" customWidth="1"/>
    <col min="15362" max="15362" width="21.125" style="23" customWidth="1"/>
    <col min="15363" max="15363" width="18.625" style="23" bestFit="1" customWidth="1"/>
    <col min="15364" max="15364" width="11" style="23" customWidth="1"/>
    <col min="15365" max="15365" width="21" style="23" customWidth="1"/>
    <col min="15366" max="15366" width="9" style="23"/>
    <col min="15367" max="15367" width="17" style="23" bestFit="1" customWidth="1"/>
    <col min="15368" max="15616" width="9" style="23"/>
    <col min="15617" max="15617" width="8.375" style="23" customWidth="1"/>
    <col min="15618" max="15618" width="21.125" style="23" customWidth="1"/>
    <col min="15619" max="15619" width="18.625" style="23" bestFit="1" customWidth="1"/>
    <col min="15620" max="15620" width="11" style="23" customWidth="1"/>
    <col min="15621" max="15621" width="21" style="23" customWidth="1"/>
    <col min="15622" max="15622" width="9" style="23"/>
    <col min="15623" max="15623" width="17" style="23" bestFit="1" customWidth="1"/>
    <col min="15624" max="15872" width="9" style="23"/>
    <col min="15873" max="15873" width="8.375" style="23" customWidth="1"/>
    <col min="15874" max="15874" width="21.125" style="23" customWidth="1"/>
    <col min="15875" max="15875" width="18.625" style="23" bestFit="1" customWidth="1"/>
    <col min="15876" max="15876" width="11" style="23" customWidth="1"/>
    <col min="15877" max="15877" width="21" style="23" customWidth="1"/>
    <col min="15878" max="15878" width="9" style="23"/>
    <col min="15879" max="15879" width="17" style="23" bestFit="1" customWidth="1"/>
    <col min="15880" max="16128" width="9" style="23"/>
    <col min="16129" max="16129" width="8.375" style="23" customWidth="1"/>
    <col min="16130" max="16130" width="21.125" style="23" customWidth="1"/>
    <col min="16131" max="16131" width="18.625" style="23" bestFit="1" customWidth="1"/>
    <col min="16132" max="16132" width="11" style="23" customWidth="1"/>
    <col min="16133" max="16133" width="21" style="23" customWidth="1"/>
    <col min="16134" max="16134" width="9" style="23"/>
    <col min="16135" max="16135" width="17" style="23" bestFit="1" customWidth="1"/>
    <col min="16136" max="16384" width="9" style="23"/>
  </cols>
  <sheetData>
    <row r="1" spans="1:10" ht="69" customHeight="1">
      <c r="A1" s="160" t="s">
        <v>294</v>
      </c>
      <c r="B1" s="128"/>
      <c r="C1" s="128"/>
      <c r="D1" s="979" t="s">
        <v>467</v>
      </c>
      <c r="E1" s="979"/>
      <c r="F1" s="979"/>
      <c r="G1" s="979"/>
      <c r="H1" s="979"/>
      <c r="I1" s="979"/>
    </row>
    <row r="2" spans="1:10" ht="26.25">
      <c r="A2" s="980" t="str">
        <f>"주관사 : "&amp;참여업체!C5</f>
        <v>주관사 : A</v>
      </c>
      <c r="B2" s="980"/>
      <c r="C2" s="980"/>
      <c r="D2" s="980"/>
      <c r="E2" s="980"/>
      <c r="F2" s="980"/>
      <c r="G2" s="980"/>
      <c r="H2" s="980"/>
      <c r="I2" s="980"/>
    </row>
    <row r="3" spans="1:10" ht="23.25" customHeight="1" thickBot="1">
      <c r="A3" s="161"/>
      <c r="B3" s="161"/>
      <c r="C3" s="161"/>
      <c r="D3" s="128"/>
      <c r="E3" s="128"/>
      <c r="F3" s="128"/>
      <c r="G3" s="128"/>
      <c r="H3" s="128"/>
      <c r="I3" s="128"/>
    </row>
    <row r="4" spans="1:10" ht="18.95" customHeight="1">
      <c r="A4" s="981" t="s">
        <v>206</v>
      </c>
      <c r="B4" s="982"/>
      <c r="C4" s="170" t="s">
        <v>207</v>
      </c>
      <c r="D4" s="170" t="s">
        <v>208</v>
      </c>
      <c r="E4" s="170" t="s">
        <v>209</v>
      </c>
      <c r="F4" s="171" t="s">
        <v>214</v>
      </c>
      <c r="G4" s="171" t="s">
        <v>215</v>
      </c>
      <c r="H4" s="171" t="s">
        <v>216</v>
      </c>
      <c r="I4" s="172" t="s">
        <v>217</v>
      </c>
    </row>
    <row r="5" spans="1:10" ht="51" customHeight="1">
      <c r="A5" s="976" t="s">
        <v>211</v>
      </c>
      <c r="B5" s="162" t="s">
        <v>218</v>
      </c>
      <c r="C5" s="163" t="str">
        <f>'3-1 참여기술인(등급)'!D8</f>
        <v>홍길동</v>
      </c>
      <c r="D5" s="163">
        <f>'3-1 참여기술인(등급)'!E8</f>
        <v>0</v>
      </c>
      <c r="E5" s="164">
        <f>'3-1 참여기술인(등급)'!I8</f>
        <v>0</v>
      </c>
      <c r="F5" s="166"/>
      <c r="G5" s="166"/>
      <c r="H5" s="165"/>
      <c r="I5" s="173"/>
    </row>
    <row r="6" spans="1:10" ht="51" customHeight="1">
      <c r="A6" s="977"/>
      <c r="B6" s="162" t="s">
        <v>534</v>
      </c>
      <c r="C6" s="163" t="str">
        <f>IF('3-1 참여기술인(등급)'!D12="","",'3-1 참여기술인(등급)'!D12)</f>
        <v>백철수</v>
      </c>
      <c r="D6" s="163" t="str">
        <f>IF('3-1 참여기술인(등급)'!E12="","",'3-1 참여기술인(등급)'!E12)</f>
        <v/>
      </c>
      <c r="E6" s="164">
        <f>'3-1 참여기술인(등급)'!I12</f>
        <v>0</v>
      </c>
      <c r="F6" s="165" t="s">
        <v>530</v>
      </c>
      <c r="G6" s="165"/>
      <c r="H6" s="165"/>
      <c r="I6" s="173"/>
    </row>
    <row r="7" spans="1:10" ht="51" customHeight="1">
      <c r="A7" s="978"/>
      <c r="B7" s="162" t="s">
        <v>441</v>
      </c>
      <c r="C7" s="163" t="str">
        <f>IF('3-1 참여기술인(등급)'!D13="","",'3-1 참여기술인(등급)'!D13)</f>
        <v>홍영희</v>
      </c>
      <c r="D7" s="163" t="str">
        <f>IF('3-1 참여기술인(등급)'!E13="","",'3-1 참여기술인(등급)'!E13)</f>
        <v/>
      </c>
      <c r="E7" s="164">
        <f>'3-1 참여기술인(등급)'!I13</f>
        <v>0</v>
      </c>
      <c r="F7" s="165" t="s">
        <v>530</v>
      </c>
      <c r="G7" s="165"/>
      <c r="H7" s="165"/>
      <c r="I7" s="174"/>
    </row>
    <row r="8" spans="1:10" ht="51" customHeight="1">
      <c r="A8" s="989" t="s">
        <v>212</v>
      </c>
      <c r="B8" s="987" t="s">
        <v>535</v>
      </c>
      <c r="C8" s="985" t="str">
        <f>IF('3-1 참여기술인(등급)'!D21="","",'3-1 참여기술인(등급)'!D21)</f>
        <v>김가나다</v>
      </c>
      <c r="D8" s="985" t="str">
        <f>IF('3-1 참여기술인(등급)'!E21="","",'3-1 참여기술인(등급)'!E21)</f>
        <v/>
      </c>
      <c r="E8" s="983">
        <f>'3-1 참여기술인(등급)'!I21</f>
        <v>0</v>
      </c>
      <c r="F8" s="167"/>
      <c r="G8" s="165"/>
      <c r="H8" s="164" t="s">
        <v>543</v>
      </c>
      <c r="I8" s="619" t="s">
        <v>536</v>
      </c>
      <c r="J8" s="46"/>
    </row>
    <row r="9" spans="1:10" ht="51" customHeight="1">
      <c r="A9" s="990"/>
      <c r="B9" s="988"/>
      <c r="C9" s="986"/>
      <c r="D9" s="986"/>
      <c r="E9" s="984"/>
      <c r="F9" s="167"/>
      <c r="G9" s="165"/>
      <c r="H9" s="164" t="s">
        <v>543</v>
      </c>
      <c r="I9" s="619" t="s">
        <v>536</v>
      </c>
      <c r="J9" s="46"/>
    </row>
    <row r="10" spans="1:10" ht="51" customHeight="1">
      <c r="A10" s="990"/>
      <c r="B10" s="988"/>
      <c r="C10" s="986"/>
      <c r="D10" s="986"/>
      <c r="E10" s="984"/>
      <c r="F10" s="167"/>
      <c r="G10" s="164"/>
      <c r="H10" s="164" t="s">
        <v>543</v>
      </c>
      <c r="I10" s="619" t="s">
        <v>536</v>
      </c>
      <c r="J10" s="46"/>
    </row>
    <row r="11" spans="1:10" ht="51" customHeight="1">
      <c r="A11" s="990"/>
      <c r="B11" s="988"/>
      <c r="C11" s="986"/>
      <c r="D11" s="986"/>
      <c r="E11" s="984"/>
      <c r="F11" s="167"/>
      <c r="G11" s="166"/>
      <c r="H11" s="164" t="s">
        <v>544</v>
      </c>
      <c r="I11" s="619" t="s">
        <v>545</v>
      </c>
      <c r="J11" s="46"/>
    </row>
    <row r="12" spans="1:10" ht="51" customHeight="1">
      <c r="A12" s="990"/>
      <c r="B12" s="988"/>
      <c r="C12" s="986"/>
      <c r="D12" s="986"/>
      <c r="E12" s="984"/>
      <c r="F12" s="167"/>
      <c r="G12" s="166"/>
      <c r="H12" s="164" t="s">
        <v>544</v>
      </c>
      <c r="I12" s="619" t="s">
        <v>546</v>
      </c>
      <c r="J12" s="46"/>
    </row>
    <row r="13" spans="1:10" ht="51" customHeight="1">
      <c r="A13" s="990"/>
      <c r="B13" s="988"/>
      <c r="C13" s="986"/>
      <c r="D13" s="986"/>
      <c r="E13" s="984"/>
      <c r="F13" s="167"/>
      <c r="G13" s="166"/>
      <c r="H13" s="164" t="s">
        <v>544</v>
      </c>
      <c r="I13" s="619" t="s">
        <v>546</v>
      </c>
      <c r="J13" s="46"/>
    </row>
    <row r="14" spans="1:10" ht="51" customHeight="1">
      <c r="A14" s="990"/>
      <c r="B14" s="988"/>
      <c r="C14" s="986"/>
      <c r="D14" s="986"/>
      <c r="E14" s="984"/>
      <c r="F14" s="167"/>
      <c r="G14" s="167"/>
      <c r="H14" s="164" t="s">
        <v>544</v>
      </c>
      <c r="I14" s="619" t="s">
        <v>546</v>
      </c>
      <c r="J14" s="46"/>
    </row>
    <row r="15" spans="1:10" ht="20.25">
      <c r="A15" s="975"/>
      <c r="B15" s="975"/>
      <c r="C15" s="975"/>
      <c r="D15" s="975"/>
      <c r="E15" s="975"/>
      <c r="F15" s="128"/>
      <c r="G15" s="128"/>
      <c r="H15" s="128"/>
      <c r="I15" s="128"/>
    </row>
    <row r="16" spans="1:10" ht="20.25">
      <c r="A16" s="168"/>
      <c r="B16" s="169"/>
      <c r="C16" s="169"/>
      <c r="D16" s="169"/>
      <c r="E16" s="128"/>
      <c r="F16" s="128"/>
      <c r="G16" s="128"/>
      <c r="H16" s="128"/>
      <c r="I16" s="128"/>
    </row>
    <row r="17" spans="1:4">
      <c r="A17" s="46"/>
      <c r="B17" s="46"/>
      <c r="C17" s="46"/>
      <c r="D17" s="46"/>
    </row>
  </sheetData>
  <mergeCells count="10">
    <mergeCell ref="A15:E15"/>
    <mergeCell ref="A5:A7"/>
    <mergeCell ref="D1:I1"/>
    <mergeCell ref="A2:I2"/>
    <mergeCell ref="A4:B4"/>
    <mergeCell ref="E8:E14"/>
    <mergeCell ref="D8:D14"/>
    <mergeCell ref="C8:C14"/>
    <mergeCell ref="B8:B14"/>
    <mergeCell ref="A8:A14"/>
  </mergeCells>
  <phoneticPr fontId="2" type="noConversion"/>
  <pageMargins left="0.7" right="0.7" top="0.75" bottom="0.75" header="0.3" footer="0.3"/>
  <pageSetup paperSize="9" scale="62" orientation="portrait" horizontalDpi="1200" verticalDpi="120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Q46"/>
  <sheetViews>
    <sheetView showGridLines="0" view="pageBreakPreview" zoomScale="85" zoomScaleNormal="85" zoomScaleSheetLayoutView="85" workbookViewId="0">
      <selection activeCell="C10" sqref="C10"/>
    </sheetView>
  </sheetViews>
  <sheetFormatPr defaultRowHeight="16.5"/>
  <cols>
    <col min="1" max="1" width="31.625" customWidth="1"/>
    <col min="2" max="2" width="14.75" customWidth="1"/>
    <col min="3" max="3" width="51" customWidth="1"/>
    <col min="4" max="4" width="28.25" customWidth="1"/>
    <col min="5" max="5" width="13.25" bestFit="1" customWidth="1"/>
    <col min="6" max="6" width="19.5" customWidth="1"/>
    <col min="7" max="7" width="22.125" customWidth="1"/>
    <col min="8" max="8" width="13.25" bestFit="1" customWidth="1"/>
    <col min="9" max="9" width="19" customWidth="1"/>
    <col min="10" max="10" width="9" customWidth="1"/>
    <col min="12" max="12" width="12.125" bestFit="1" customWidth="1"/>
  </cols>
  <sheetData>
    <row r="1" spans="1:17" ht="136.5" customHeight="1" thickBot="1">
      <c r="A1" s="160" t="s">
        <v>372</v>
      </c>
      <c r="B1" s="175"/>
      <c r="C1" s="991" t="s">
        <v>665</v>
      </c>
      <c r="D1" s="992"/>
      <c r="E1" s="992"/>
      <c r="F1" s="992"/>
      <c r="G1" s="993"/>
      <c r="H1" s="175"/>
      <c r="I1" s="175"/>
      <c r="J1" s="50"/>
      <c r="K1" s="50"/>
      <c r="L1" s="50"/>
      <c r="M1" s="50"/>
      <c r="N1" s="50"/>
      <c r="O1" s="50"/>
    </row>
    <row r="2" spans="1:17" ht="8.25" customHeight="1">
      <c r="A2" s="175"/>
      <c r="B2" s="175"/>
      <c r="C2" s="175"/>
      <c r="D2" s="175"/>
      <c r="E2" s="175"/>
      <c r="F2" s="175"/>
      <c r="G2" s="175"/>
      <c r="H2" s="175"/>
      <c r="I2" s="175"/>
      <c r="J2" s="50"/>
      <c r="K2" s="50"/>
      <c r="L2" s="50"/>
      <c r="M2" s="50"/>
      <c r="N2" s="50"/>
      <c r="O2" s="50"/>
    </row>
    <row r="3" spans="1:17" ht="8.25" customHeight="1">
      <c r="A3" s="176"/>
      <c r="B3" s="176"/>
      <c r="C3" s="177"/>
      <c r="D3" s="178"/>
      <c r="E3" s="177"/>
      <c r="F3" s="177"/>
      <c r="G3" s="177"/>
      <c r="H3" s="177"/>
      <c r="I3" s="177"/>
      <c r="J3" s="50"/>
      <c r="K3" s="50"/>
      <c r="L3" s="50"/>
      <c r="M3" s="50"/>
      <c r="N3" s="50"/>
      <c r="O3" s="50"/>
    </row>
    <row r="4" spans="1:17" ht="27.75" customHeight="1">
      <c r="A4" s="179" t="s">
        <v>115</v>
      </c>
      <c r="B4" s="180" t="s">
        <v>122</v>
      </c>
      <c r="C4" s="179" t="s">
        <v>568</v>
      </c>
      <c r="D4" s="179" t="s">
        <v>569</v>
      </c>
      <c r="E4" s="179" t="s">
        <v>25</v>
      </c>
      <c r="F4" s="179" t="s">
        <v>570</v>
      </c>
      <c r="G4" s="179" t="s">
        <v>571</v>
      </c>
      <c r="H4" s="175"/>
      <c r="I4" s="181" t="s">
        <v>34</v>
      </c>
      <c r="J4" s="182">
        <f>'자기평가서(2단계-종합기술제안서 정량평가)'!K4</f>
        <v>45972</v>
      </c>
      <c r="K4" s="50"/>
      <c r="L4" s="50"/>
      <c r="M4" s="50"/>
      <c r="N4" s="50"/>
      <c r="O4" s="50"/>
      <c r="P4" s="50"/>
    </row>
    <row r="5" spans="1:17" ht="22.5" customHeight="1">
      <c r="A5" s="183" t="str">
        <f>참여업체!C5</f>
        <v>A</v>
      </c>
      <c r="B5" s="184">
        <f>I12</f>
        <v>86</v>
      </c>
      <c r="C5" s="185">
        <f>IF($B$5=0,13,IF($B$5&gt;=89,15,IF($B$5&gt;=87,14,IF($B$5&gt;=85,13,IF($B$5&gt;=83,12,11)))))</f>
        <v>13</v>
      </c>
      <c r="D5" s="185">
        <f>IF($B$5=0,0.7,IF($B$5&gt;=89,1.5,IF($B$5&gt;=87,1.1,IF($B$5&gt;=85,0.7,IF($B$5&gt;=83,0.3,0)))))</f>
        <v>0.7</v>
      </c>
      <c r="E5" s="186">
        <f>참여업체!C6</f>
        <v>0.57999999999999996</v>
      </c>
      <c r="F5" s="187">
        <f>C5*E5</f>
        <v>7.5399999999999991</v>
      </c>
      <c r="G5" s="187">
        <f>D5*E5</f>
        <v>0.40599999999999997</v>
      </c>
      <c r="H5" s="188"/>
      <c r="I5" s="188"/>
      <c r="J5" s="188"/>
      <c r="K5" s="188"/>
      <c r="L5" s="50"/>
      <c r="M5" s="50"/>
      <c r="N5" s="50"/>
      <c r="O5" s="50"/>
      <c r="P5" s="50"/>
      <c r="Q5" s="50"/>
    </row>
    <row r="6" spans="1:17" ht="22.5" customHeight="1">
      <c r="A6" s="183" t="str">
        <f>참여업체!D5</f>
        <v>B</v>
      </c>
      <c r="B6" s="184">
        <f>I17</f>
        <v>0</v>
      </c>
      <c r="C6" s="185">
        <f>IF($B$6=0,13,IF($B$6&gt;=89,15,IF($B$6&gt;=87,14,IF($B$6&gt;=85,13,IF($B$6&gt;=83,12,11)))))</f>
        <v>13</v>
      </c>
      <c r="D6" s="185">
        <f>IF($B$6=0,0.7,IF($B$6&gt;=89,1.5,IF($B$6&gt;=87,1.1,IF($B$6&gt;=85,0.7,IF($B$6&gt;=83,0.3,0)))))</f>
        <v>0.7</v>
      </c>
      <c r="E6" s="186">
        <f>참여업체!D6</f>
        <v>0.28000000000000003</v>
      </c>
      <c r="F6" s="187">
        <f>C6*E6</f>
        <v>3.6400000000000006</v>
      </c>
      <c r="G6" s="187">
        <f>D6*E6</f>
        <v>0.19600000000000001</v>
      </c>
      <c r="H6" s="177"/>
      <c r="I6" s="177"/>
      <c r="J6" s="177"/>
      <c r="K6" s="177"/>
      <c r="L6" s="50"/>
      <c r="M6" s="50"/>
      <c r="N6" s="50"/>
      <c r="O6" s="50"/>
      <c r="P6" s="50"/>
      <c r="Q6" s="50"/>
    </row>
    <row r="7" spans="1:17" ht="22.5" customHeight="1">
      <c r="A7" s="183" t="str">
        <f>참여업체!E5</f>
        <v>C</v>
      </c>
      <c r="B7" s="184">
        <f>I23</f>
        <v>0</v>
      </c>
      <c r="C7" s="185">
        <f>IF($B$7=0,13,IF($B$7&gt;=89,15,IF($B$7&gt;=87,14,IF($B$7&gt;=85,13,IF($B$7&gt;=83,12,11)))))</f>
        <v>13</v>
      </c>
      <c r="D7" s="185">
        <f>IF($B$7=0,0.7,IF($B$7&gt;=89,1.5,IF($B$7&gt;=87,1.1,IF($B$7&gt;=85,0.7,IF($B$7&gt;=83,0.3,0)))))</f>
        <v>0.7</v>
      </c>
      <c r="E7" s="186">
        <f>참여업체!E6</f>
        <v>0.14000000000000001</v>
      </c>
      <c r="F7" s="187">
        <f>C7*E7</f>
        <v>1.8200000000000003</v>
      </c>
      <c r="G7" s="187">
        <f>D7*E7</f>
        <v>9.8000000000000004E-2</v>
      </c>
      <c r="H7" s="177"/>
      <c r="I7" s="177"/>
      <c r="J7" s="177"/>
      <c r="K7" s="177"/>
      <c r="L7" s="50"/>
      <c r="M7" s="50"/>
      <c r="N7" s="50"/>
      <c r="O7" s="50"/>
      <c r="P7" s="50"/>
      <c r="Q7" s="50"/>
    </row>
    <row r="8" spans="1:17" ht="22.5" hidden="1" customHeight="1">
      <c r="A8" s="183">
        <f>참여업체!F5</f>
        <v>0</v>
      </c>
      <c r="B8" s="184">
        <f>I28</f>
        <v>0</v>
      </c>
      <c r="C8" s="185">
        <f>IF(B8=0,3.8,IF(B8&gt;=89,4,IF(B8&gt;=87,3.9,IF(B8&gt;=85,3.8,IF(B8&gt;=83,3.7,3.6)))))</f>
        <v>3.8</v>
      </c>
      <c r="D8" s="185"/>
      <c r="E8" s="186">
        <f>참여업체!F6</f>
        <v>0</v>
      </c>
      <c r="F8" s="189">
        <f>B8*D8</f>
        <v>0</v>
      </c>
      <c r="G8" s="189">
        <f>C8*E8</f>
        <v>0</v>
      </c>
      <c r="H8" s="177"/>
      <c r="I8" s="177"/>
      <c r="J8" s="177"/>
      <c r="K8" s="177"/>
      <c r="L8" s="50"/>
      <c r="M8" s="50"/>
      <c r="N8" s="50"/>
      <c r="O8" s="50"/>
      <c r="P8" s="50"/>
      <c r="Q8" s="50"/>
    </row>
    <row r="9" spans="1:17" ht="22.5" hidden="1" customHeight="1">
      <c r="A9" s="183">
        <f>참여업체!G5</f>
        <v>0</v>
      </c>
      <c r="B9" s="184">
        <f>I38</f>
        <v>0</v>
      </c>
      <c r="C9" s="185">
        <f>IF(B9=0,3.8,IF(B9&gt;=89,4,IF(B9&gt;=87,3.9,IF(B9&gt;=85,3.8,IF(B9&gt;=83,3.7,3.6)))))</f>
        <v>3.8</v>
      </c>
      <c r="D9" s="185"/>
      <c r="E9" s="186">
        <f>참여업체!G6</f>
        <v>0</v>
      </c>
      <c r="F9" s="189">
        <f>B9*D9</f>
        <v>0</v>
      </c>
      <c r="G9" s="189">
        <f>C9*E9</f>
        <v>0</v>
      </c>
      <c r="H9" s="177"/>
      <c r="I9" s="177"/>
      <c r="J9" s="177"/>
      <c r="K9" s="177"/>
      <c r="L9" s="50"/>
      <c r="M9" s="50"/>
      <c r="N9" s="50"/>
      <c r="O9" s="50"/>
      <c r="P9" s="50"/>
      <c r="Q9" s="50"/>
    </row>
    <row r="10" spans="1:17" ht="25.5" customHeight="1">
      <c r="A10" s="183" t="s">
        <v>116</v>
      </c>
      <c r="B10" s="190"/>
      <c r="C10" s="191"/>
      <c r="D10" s="191"/>
      <c r="E10" s="192"/>
      <c r="F10" s="193">
        <f>SUM(F5:F9)</f>
        <v>13</v>
      </c>
      <c r="G10" s="193">
        <f>SUM(G5:G9)</f>
        <v>0.7</v>
      </c>
      <c r="H10" s="177"/>
      <c r="I10" s="177"/>
      <c r="J10" s="177"/>
      <c r="K10" s="177"/>
      <c r="L10" s="50"/>
      <c r="M10" s="50"/>
      <c r="N10" s="50"/>
      <c r="O10" s="50"/>
      <c r="P10" s="50"/>
      <c r="Q10" s="50"/>
    </row>
    <row r="11" spans="1:17">
      <c r="A11" s="175"/>
      <c r="B11" s="175"/>
      <c r="C11" s="175"/>
      <c r="D11" s="175"/>
      <c r="E11" s="175"/>
      <c r="F11" s="175"/>
      <c r="G11" s="175"/>
      <c r="H11" s="175"/>
      <c r="I11" s="175"/>
    </row>
    <row r="12" spans="1:17" ht="31.5">
      <c r="A12" s="194" t="s">
        <v>407</v>
      </c>
      <c r="B12" s="177"/>
      <c r="C12" s="195"/>
      <c r="D12" s="994" t="str">
        <f>A5</f>
        <v>A</v>
      </c>
      <c r="E12" s="994"/>
      <c r="F12" s="994"/>
      <c r="G12" s="994"/>
      <c r="H12" s="196" t="s">
        <v>122</v>
      </c>
      <c r="I12" s="197">
        <f>I15/G15</f>
        <v>86</v>
      </c>
      <c r="J12" s="42"/>
      <c r="K12" s="37"/>
      <c r="L12" s="35"/>
    </row>
    <row r="13" spans="1:17" ht="17.25">
      <c r="A13" s="198" t="s">
        <v>119</v>
      </c>
      <c r="B13" s="199" t="s">
        <v>120</v>
      </c>
      <c r="C13" s="199" t="s">
        <v>118</v>
      </c>
      <c r="D13" s="199" t="s">
        <v>117</v>
      </c>
      <c r="E13" s="199" t="s">
        <v>123</v>
      </c>
      <c r="F13" s="199" t="s">
        <v>126</v>
      </c>
      <c r="G13" s="199" t="s">
        <v>288</v>
      </c>
      <c r="H13" s="199" t="s">
        <v>122</v>
      </c>
      <c r="I13" s="200" t="s">
        <v>127</v>
      </c>
      <c r="J13" s="34"/>
      <c r="K13" s="38"/>
      <c r="L13" s="39"/>
    </row>
    <row r="14" spans="1:17" ht="30" customHeight="1">
      <c r="A14" s="198">
        <v>1</v>
      </c>
      <c r="B14" s="201"/>
      <c r="C14" s="208" t="s">
        <v>572</v>
      </c>
      <c r="D14" s="202" t="s">
        <v>573</v>
      </c>
      <c r="E14" s="203">
        <v>45505</v>
      </c>
      <c r="F14" s="204">
        <v>100</v>
      </c>
      <c r="G14" s="205">
        <f>IF(F14="","",IF(I14=0,0,F14))</f>
        <v>100</v>
      </c>
      <c r="H14" s="206">
        <v>86</v>
      </c>
      <c r="I14" s="207">
        <f>F14*H14</f>
        <v>8600</v>
      </c>
      <c r="J14" s="34"/>
      <c r="K14" s="38"/>
      <c r="L14" s="39"/>
    </row>
    <row r="15" spans="1:17" ht="30" customHeight="1">
      <c r="A15" s="995" t="s">
        <v>125</v>
      </c>
      <c r="B15" s="996"/>
      <c r="C15" s="996"/>
      <c r="D15" s="996"/>
      <c r="E15" s="996"/>
      <c r="F15" s="997"/>
      <c r="G15" s="209">
        <f>IF(SUM(G14:G14)=0,1,SUM(G14:G14))</f>
        <v>100</v>
      </c>
      <c r="H15" s="210"/>
      <c r="I15" s="211">
        <f>SUM(I14:I14)</f>
        <v>8600</v>
      </c>
      <c r="J15" s="40"/>
      <c r="K15" s="40"/>
      <c r="L15" s="40"/>
    </row>
    <row r="16" spans="1:17" ht="16.5" customHeight="1">
      <c r="A16" s="212"/>
      <c r="B16" s="212"/>
      <c r="C16" s="212"/>
      <c r="D16" s="212"/>
      <c r="E16" s="212"/>
      <c r="F16" s="212"/>
      <c r="G16" s="212"/>
      <c r="H16" s="212"/>
      <c r="I16" s="213"/>
      <c r="J16" s="40"/>
      <c r="K16" s="40"/>
      <c r="L16" s="40"/>
    </row>
    <row r="17" spans="1:12" ht="30" customHeight="1">
      <c r="A17" s="194" t="s">
        <v>289</v>
      </c>
      <c r="B17" s="177"/>
      <c r="C17" s="195"/>
      <c r="D17" s="994" t="str">
        <f>A6</f>
        <v>B</v>
      </c>
      <c r="E17" s="994"/>
      <c r="F17" s="994"/>
      <c r="G17" s="994"/>
      <c r="H17" s="196" t="s">
        <v>122</v>
      </c>
      <c r="I17" s="197">
        <f>I21/G21</f>
        <v>0</v>
      </c>
      <c r="J17" s="40"/>
      <c r="K17" s="40"/>
      <c r="L17" s="40"/>
    </row>
    <row r="18" spans="1:12" ht="30" customHeight="1">
      <c r="A18" s="198" t="s">
        <v>119</v>
      </c>
      <c r="B18" s="199" t="s">
        <v>120</v>
      </c>
      <c r="C18" s="199" t="s">
        <v>118</v>
      </c>
      <c r="D18" s="199" t="s">
        <v>117</v>
      </c>
      <c r="E18" s="199" t="s">
        <v>123</v>
      </c>
      <c r="F18" s="199" t="s">
        <v>126</v>
      </c>
      <c r="G18" s="199" t="s">
        <v>288</v>
      </c>
      <c r="H18" s="199" t="s">
        <v>122</v>
      </c>
      <c r="I18" s="200" t="s">
        <v>124</v>
      </c>
      <c r="J18" s="43"/>
      <c r="K18" s="43"/>
      <c r="L18" s="41"/>
    </row>
    <row r="19" spans="1:12" ht="30" customHeight="1">
      <c r="A19" s="198">
        <v>1</v>
      </c>
      <c r="B19" s="201"/>
      <c r="C19" s="201"/>
      <c r="D19" s="202"/>
      <c r="E19" s="203"/>
      <c r="F19" s="204"/>
      <c r="G19" s="205" t="str">
        <f t="shared" ref="G19:G20" si="0">IF(F19="","",IF(I19=0,0,F19))</f>
        <v/>
      </c>
      <c r="H19" s="206">
        <v>85.84</v>
      </c>
      <c r="I19" s="207">
        <f>F19*H19</f>
        <v>0</v>
      </c>
      <c r="K19" s="36"/>
      <c r="L19" s="35"/>
    </row>
    <row r="20" spans="1:12" ht="30" customHeight="1">
      <c r="A20" s="214">
        <v>2</v>
      </c>
      <c r="B20" s="201"/>
      <c r="C20" s="201"/>
      <c r="D20" s="202"/>
      <c r="E20" s="203"/>
      <c r="F20" s="204"/>
      <c r="G20" s="205" t="str">
        <f t="shared" si="0"/>
        <v/>
      </c>
      <c r="H20" s="206">
        <v>86.2</v>
      </c>
      <c r="I20" s="207">
        <f>F20*H20</f>
        <v>0</v>
      </c>
    </row>
    <row r="21" spans="1:12" ht="30" customHeight="1">
      <c r="A21" s="995" t="s">
        <v>125</v>
      </c>
      <c r="B21" s="996"/>
      <c r="C21" s="996"/>
      <c r="D21" s="996"/>
      <c r="E21" s="996"/>
      <c r="F21" s="997"/>
      <c r="G21" s="209">
        <f>IF(SUM(G19:G20)=0,1,SUM(G19:G20))</f>
        <v>1</v>
      </c>
      <c r="H21" s="210"/>
      <c r="I21" s="216">
        <f>SUM(I19:I20)</f>
        <v>0</v>
      </c>
    </row>
    <row r="22" spans="1:12">
      <c r="A22" s="175"/>
      <c r="B22" s="175"/>
      <c r="C22" s="175"/>
      <c r="D22" s="175"/>
      <c r="E22" s="175"/>
      <c r="F22" s="175"/>
      <c r="G22" s="175"/>
      <c r="H22" s="175"/>
      <c r="I22" s="175"/>
    </row>
    <row r="23" spans="1:12" ht="30" customHeight="1">
      <c r="A23" s="194" t="s">
        <v>290</v>
      </c>
      <c r="B23" s="177"/>
      <c r="C23" s="195"/>
      <c r="D23" s="994" t="str">
        <f>A7</f>
        <v>C</v>
      </c>
      <c r="E23" s="994"/>
      <c r="F23" s="994"/>
      <c r="G23" s="994"/>
      <c r="H23" s="196" t="s">
        <v>122</v>
      </c>
      <c r="I23" s="197">
        <f>I26/G26</f>
        <v>0</v>
      </c>
    </row>
    <row r="24" spans="1:12" ht="30" customHeight="1">
      <c r="A24" s="198" t="s">
        <v>119</v>
      </c>
      <c r="B24" s="199" t="s">
        <v>120</v>
      </c>
      <c r="C24" s="199" t="s">
        <v>118</v>
      </c>
      <c r="D24" s="199" t="s">
        <v>117</v>
      </c>
      <c r="E24" s="199" t="s">
        <v>123</v>
      </c>
      <c r="F24" s="199" t="s">
        <v>126</v>
      </c>
      <c r="G24" s="199" t="s">
        <v>288</v>
      </c>
      <c r="H24" s="199" t="s">
        <v>122</v>
      </c>
      <c r="I24" s="200" t="s">
        <v>124</v>
      </c>
    </row>
    <row r="25" spans="1:12" ht="30" customHeight="1">
      <c r="A25" s="198">
        <v>1</v>
      </c>
      <c r="B25" s="201"/>
      <c r="C25" s="215" t="s">
        <v>503</v>
      </c>
      <c r="D25" s="202" t="s">
        <v>121</v>
      </c>
      <c r="E25" s="203"/>
      <c r="F25" s="204"/>
      <c r="G25" s="205" t="str">
        <f t="shared" ref="G25" si="1">IF(F25="","",IF(I25=0,0,F25))</f>
        <v/>
      </c>
      <c r="H25" s="201"/>
      <c r="I25" s="207">
        <f>F25*H25</f>
        <v>0</v>
      </c>
    </row>
    <row r="26" spans="1:12" ht="30" customHeight="1">
      <c r="A26" s="995" t="s">
        <v>125</v>
      </c>
      <c r="B26" s="996"/>
      <c r="C26" s="996"/>
      <c r="D26" s="996"/>
      <c r="E26" s="996"/>
      <c r="F26" s="997"/>
      <c r="G26" s="209">
        <f>IF(SUM(G25:G25)=0,1,SUM(G25:G25))</f>
        <v>1</v>
      </c>
      <c r="H26" s="210"/>
      <c r="I26" s="216">
        <f>SUM(I25:I25)</f>
        <v>0</v>
      </c>
    </row>
    <row r="27" spans="1:12">
      <c r="A27" s="175"/>
      <c r="B27" s="175"/>
      <c r="C27" s="175"/>
      <c r="D27" s="175"/>
      <c r="E27" s="175"/>
      <c r="F27" s="175"/>
      <c r="G27" s="175"/>
      <c r="H27" s="175"/>
      <c r="I27" s="175"/>
    </row>
    <row r="28" spans="1:12" ht="30" customHeight="1">
      <c r="A28" s="194" t="s">
        <v>291</v>
      </c>
      <c r="B28" s="177"/>
      <c r="C28" s="195"/>
      <c r="D28" s="994">
        <f>A8</f>
        <v>0</v>
      </c>
      <c r="E28" s="994"/>
      <c r="F28" s="994"/>
      <c r="G28" s="994"/>
      <c r="H28" s="196" t="s">
        <v>122</v>
      </c>
      <c r="I28" s="197">
        <f>I36/G36</f>
        <v>0</v>
      </c>
    </row>
    <row r="29" spans="1:12" ht="30" customHeight="1">
      <c r="A29" s="198" t="s">
        <v>119</v>
      </c>
      <c r="B29" s="199" t="s">
        <v>120</v>
      </c>
      <c r="C29" s="199" t="s">
        <v>118</v>
      </c>
      <c r="D29" s="199" t="s">
        <v>117</v>
      </c>
      <c r="E29" s="199" t="s">
        <v>123</v>
      </c>
      <c r="F29" s="199" t="s">
        <v>126</v>
      </c>
      <c r="G29" s="199" t="s">
        <v>288</v>
      </c>
      <c r="H29" s="199" t="s">
        <v>122</v>
      </c>
      <c r="I29" s="200" t="s">
        <v>124</v>
      </c>
    </row>
    <row r="30" spans="1:12" ht="30" customHeight="1">
      <c r="A30" s="198">
        <v>1</v>
      </c>
      <c r="B30" s="201"/>
      <c r="C30" s="201"/>
      <c r="D30" s="202" t="s">
        <v>121</v>
      </c>
      <c r="E30" s="203"/>
      <c r="F30" s="204"/>
      <c r="G30" s="205" t="str">
        <f t="shared" ref="G30:G35" si="2">IF(F30="","",IF(I30=0,0,F30))</f>
        <v/>
      </c>
      <c r="H30" s="201"/>
      <c r="I30" s="207">
        <f t="shared" ref="I30:I35" si="3">F30*H30</f>
        <v>0</v>
      </c>
    </row>
    <row r="31" spans="1:12" ht="30" customHeight="1">
      <c r="A31" s="214">
        <v>2</v>
      </c>
      <c r="B31" s="208"/>
      <c r="C31" s="201"/>
      <c r="D31" s="202" t="s">
        <v>121</v>
      </c>
      <c r="E31" s="203"/>
      <c r="F31" s="204"/>
      <c r="G31" s="205" t="str">
        <f t="shared" si="2"/>
        <v/>
      </c>
      <c r="H31" s="217"/>
      <c r="I31" s="207">
        <f t="shared" si="3"/>
        <v>0</v>
      </c>
    </row>
    <row r="32" spans="1:12" ht="30" customHeight="1">
      <c r="A32" s="214">
        <v>3</v>
      </c>
      <c r="B32" s="201"/>
      <c r="C32" s="201"/>
      <c r="D32" s="202" t="s">
        <v>121</v>
      </c>
      <c r="E32" s="203"/>
      <c r="F32" s="204"/>
      <c r="G32" s="205" t="str">
        <f t="shared" si="2"/>
        <v/>
      </c>
      <c r="H32" s="217"/>
      <c r="I32" s="207">
        <f t="shared" si="3"/>
        <v>0</v>
      </c>
    </row>
    <row r="33" spans="1:9" ht="30" customHeight="1">
      <c r="A33" s="214">
        <v>4</v>
      </c>
      <c r="B33" s="201"/>
      <c r="C33" s="201"/>
      <c r="D33" s="202" t="s">
        <v>121</v>
      </c>
      <c r="E33" s="203"/>
      <c r="F33" s="204"/>
      <c r="G33" s="205" t="str">
        <f t="shared" si="2"/>
        <v/>
      </c>
      <c r="H33" s="201"/>
      <c r="I33" s="207">
        <f t="shared" si="3"/>
        <v>0</v>
      </c>
    </row>
    <row r="34" spans="1:9" ht="30" customHeight="1">
      <c r="A34" s="214">
        <v>5</v>
      </c>
      <c r="B34" s="201"/>
      <c r="C34" s="201"/>
      <c r="D34" s="202" t="s">
        <v>121</v>
      </c>
      <c r="E34" s="203"/>
      <c r="F34" s="204"/>
      <c r="G34" s="205" t="str">
        <f t="shared" si="2"/>
        <v/>
      </c>
      <c r="H34" s="201"/>
      <c r="I34" s="207">
        <f t="shared" si="3"/>
        <v>0</v>
      </c>
    </row>
    <row r="35" spans="1:9" ht="30" customHeight="1">
      <c r="A35" s="214">
        <v>6</v>
      </c>
      <c r="B35" s="201"/>
      <c r="C35" s="201"/>
      <c r="D35" s="202" t="s">
        <v>121</v>
      </c>
      <c r="E35" s="203"/>
      <c r="F35" s="204"/>
      <c r="G35" s="205" t="str">
        <f t="shared" si="2"/>
        <v/>
      </c>
      <c r="H35" s="201"/>
      <c r="I35" s="207">
        <f t="shared" si="3"/>
        <v>0</v>
      </c>
    </row>
    <row r="36" spans="1:9" ht="30" customHeight="1">
      <c r="A36" s="995" t="s">
        <v>125</v>
      </c>
      <c r="B36" s="996"/>
      <c r="C36" s="996"/>
      <c r="D36" s="996"/>
      <c r="E36" s="996"/>
      <c r="F36" s="997"/>
      <c r="G36" s="209">
        <f>IF(SUM(G30:G35)=0,1,SUM(G30:G35))</f>
        <v>1</v>
      </c>
      <c r="H36" s="210"/>
      <c r="I36" s="216">
        <f>SUM(I30:I35)</f>
        <v>0</v>
      </c>
    </row>
    <row r="37" spans="1:9">
      <c r="A37" s="175"/>
      <c r="B37" s="175"/>
      <c r="C37" s="175"/>
      <c r="D37" s="175"/>
      <c r="E37" s="175"/>
      <c r="F37" s="175"/>
      <c r="G37" s="175"/>
      <c r="H37" s="175"/>
      <c r="I37" s="175"/>
    </row>
    <row r="38" spans="1:9" ht="30" customHeight="1">
      <c r="A38" s="194" t="s">
        <v>317</v>
      </c>
      <c r="B38" s="177"/>
      <c r="C38" s="195"/>
      <c r="D38" s="994">
        <f>A9</f>
        <v>0</v>
      </c>
      <c r="E38" s="994"/>
      <c r="F38" s="994"/>
      <c r="G38" s="994"/>
      <c r="H38" s="196" t="s">
        <v>312</v>
      </c>
      <c r="I38" s="197">
        <f>I46/G46</f>
        <v>0</v>
      </c>
    </row>
    <row r="39" spans="1:9" ht="30" customHeight="1">
      <c r="A39" s="198" t="s">
        <v>119</v>
      </c>
      <c r="B39" s="199" t="s">
        <v>120</v>
      </c>
      <c r="C39" s="199" t="s">
        <v>118</v>
      </c>
      <c r="D39" s="199" t="s">
        <v>313</v>
      </c>
      <c r="E39" s="199" t="s">
        <v>123</v>
      </c>
      <c r="F39" s="199" t="s">
        <v>314</v>
      </c>
      <c r="G39" s="199" t="s">
        <v>288</v>
      </c>
      <c r="H39" s="199" t="s">
        <v>122</v>
      </c>
      <c r="I39" s="200" t="s">
        <v>124</v>
      </c>
    </row>
    <row r="40" spans="1:9" ht="30" customHeight="1">
      <c r="A40" s="198">
        <v>1</v>
      </c>
      <c r="B40" s="201"/>
      <c r="C40" s="201"/>
      <c r="D40" s="202" t="s">
        <v>121</v>
      </c>
      <c r="E40" s="203"/>
      <c r="F40" s="204"/>
      <c r="G40" s="205" t="str">
        <f t="shared" ref="G40:G45" si="4">IF(F40="","",IF(I40=0,0,F40))</f>
        <v/>
      </c>
      <c r="H40" s="201"/>
      <c r="I40" s="207">
        <f t="shared" ref="I40:I45" si="5">F40*H40</f>
        <v>0</v>
      </c>
    </row>
    <row r="41" spans="1:9" ht="30" customHeight="1">
      <c r="A41" s="214">
        <v>2</v>
      </c>
      <c r="B41" s="208"/>
      <c r="C41" s="201"/>
      <c r="D41" s="202" t="s">
        <v>315</v>
      </c>
      <c r="E41" s="203"/>
      <c r="F41" s="204"/>
      <c r="G41" s="205" t="str">
        <f t="shared" si="4"/>
        <v/>
      </c>
      <c r="H41" s="217"/>
      <c r="I41" s="207">
        <f t="shared" si="5"/>
        <v>0</v>
      </c>
    </row>
    <row r="42" spans="1:9" ht="30" customHeight="1">
      <c r="A42" s="214">
        <v>3</v>
      </c>
      <c r="B42" s="201"/>
      <c r="C42" s="201"/>
      <c r="D42" s="202" t="s">
        <v>121</v>
      </c>
      <c r="E42" s="203"/>
      <c r="F42" s="204"/>
      <c r="G42" s="205" t="str">
        <f t="shared" si="4"/>
        <v/>
      </c>
      <c r="H42" s="217"/>
      <c r="I42" s="207">
        <f t="shared" si="5"/>
        <v>0</v>
      </c>
    </row>
    <row r="43" spans="1:9" ht="30" customHeight="1">
      <c r="A43" s="214">
        <v>4</v>
      </c>
      <c r="B43" s="201"/>
      <c r="C43" s="201"/>
      <c r="D43" s="202" t="s">
        <v>315</v>
      </c>
      <c r="E43" s="203"/>
      <c r="F43" s="204"/>
      <c r="G43" s="205" t="str">
        <f t="shared" si="4"/>
        <v/>
      </c>
      <c r="H43" s="201"/>
      <c r="I43" s="207">
        <f t="shared" si="5"/>
        <v>0</v>
      </c>
    </row>
    <row r="44" spans="1:9" ht="30" customHeight="1">
      <c r="A44" s="214">
        <v>5</v>
      </c>
      <c r="B44" s="201"/>
      <c r="C44" s="201"/>
      <c r="D44" s="202" t="s">
        <v>121</v>
      </c>
      <c r="E44" s="203"/>
      <c r="F44" s="204"/>
      <c r="G44" s="205" t="str">
        <f t="shared" si="4"/>
        <v/>
      </c>
      <c r="H44" s="201"/>
      <c r="I44" s="207">
        <f t="shared" si="5"/>
        <v>0</v>
      </c>
    </row>
    <row r="45" spans="1:9" ht="30" customHeight="1">
      <c r="A45" s="214">
        <v>6</v>
      </c>
      <c r="B45" s="201"/>
      <c r="C45" s="201"/>
      <c r="D45" s="202" t="s">
        <v>121</v>
      </c>
      <c r="E45" s="203"/>
      <c r="F45" s="204"/>
      <c r="G45" s="205" t="str">
        <f t="shared" si="4"/>
        <v/>
      </c>
      <c r="H45" s="201"/>
      <c r="I45" s="207">
        <f t="shared" si="5"/>
        <v>0</v>
      </c>
    </row>
    <row r="46" spans="1:9" ht="30" customHeight="1">
      <c r="A46" s="995" t="s">
        <v>316</v>
      </c>
      <c r="B46" s="996"/>
      <c r="C46" s="996"/>
      <c r="D46" s="996"/>
      <c r="E46" s="996"/>
      <c r="F46" s="997"/>
      <c r="G46" s="209">
        <f>IF(SUM(G40:G45)=0,1,SUM(G40:G45))</f>
        <v>1</v>
      </c>
      <c r="H46" s="210"/>
      <c r="I46" s="216">
        <f>SUM(I40:I45)</f>
        <v>0</v>
      </c>
    </row>
  </sheetData>
  <mergeCells count="11">
    <mergeCell ref="C1:G1"/>
    <mergeCell ref="D38:G38"/>
    <mergeCell ref="A46:F46"/>
    <mergeCell ref="D12:G12"/>
    <mergeCell ref="A15:F15"/>
    <mergeCell ref="A21:F21"/>
    <mergeCell ref="A26:F26"/>
    <mergeCell ref="A36:F36"/>
    <mergeCell ref="D28:G28"/>
    <mergeCell ref="D23:G23"/>
    <mergeCell ref="D17:G17"/>
  </mergeCells>
  <phoneticPr fontId="2" type="noConversion"/>
  <conditionalFormatting sqref="B33:B35">
    <cfRule type="duplicateValues" dxfId="12" priority="21"/>
  </conditionalFormatting>
  <conditionalFormatting sqref="B43:B45">
    <cfRule type="duplicateValues" dxfId="11" priority="14"/>
  </conditionalFormatting>
  <conditionalFormatting sqref="E25 E33:E35">
    <cfRule type="cellIs" dxfId="10" priority="25" operator="greaterThan">
      <formula>$J$4</formula>
    </cfRule>
  </conditionalFormatting>
  <conditionalFormatting sqref="E43:E45">
    <cfRule type="cellIs" dxfId="9" priority="15" operator="greaterThan">
      <formula>$J$4</formula>
    </cfRule>
  </conditionalFormatting>
  <conditionalFormatting sqref="E14">
    <cfRule type="cellIs" dxfId="8" priority="9" operator="greaterThan">
      <formula>$J$4</formula>
    </cfRule>
  </conditionalFormatting>
  <conditionalFormatting sqref="E19:E20">
    <cfRule type="cellIs" dxfId="7" priority="8" operator="greaterThan">
      <formula>$J$4</formula>
    </cfRule>
  </conditionalFormatting>
  <conditionalFormatting sqref="E30:E32">
    <cfRule type="cellIs" dxfId="6" priority="6" operator="greaterThan">
      <formula>$J$4</formula>
    </cfRule>
  </conditionalFormatting>
  <conditionalFormatting sqref="B30:B32">
    <cfRule type="duplicateValues" dxfId="5" priority="5"/>
  </conditionalFormatting>
  <conditionalFormatting sqref="B40:B42">
    <cfRule type="duplicateValues" dxfId="4" priority="4"/>
  </conditionalFormatting>
  <conditionalFormatting sqref="E40:E42">
    <cfRule type="cellIs" dxfId="3" priority="3" operator="greaterThan">
      <formula>$J$4</formula>
    </cfRule>
  </conditionalFormatting>
  <conditionalFormatting sqref="B14">
    <cfRule type="duplicateValues" dxfId="2" priority="28"/>
  </conditionalFormatting>
  <conditionalFormatting sqref="B25">
    <cfRule type="duplicateValues" dxfId="1" priority="29"/>
  </conditionalFormatting>
  <conditionalFormatting sqref="B19:B20">
    <cfRule type="duplicateValues" dxfId="0" priority="30"/>
  </conditionalFormatting>
  <conditionalFormatting sqref="G10">
    <cfRule type="expression" priority="2">
      <formula>($G$10)&gt;15</formula>
    </cfRule>
  </conditionalFormatting>
  <conditionalFormatting sqref="F10">
    <cfRule type="expression" priority="1">
      <formula>($G$10)&gt;15</formula>
    </cfRule>
  </conditionalFormatting>
  <pageMargins left="0.7" right="0.7" top="0.75" bottom="0.75" header="0.3" footer="0.3"/>
  <pageSetup paperSize="9" scale="3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20</vt:i4>
      </vt:variant>
      <vt:variant>
        <vt:lpstr>이름이 지정된 범위</vt:lpstr>
      </vt:variant>
      <vt:variant>
        <vt:i4>17</vt:i4>
      </vt:variant>
    </vt:vector>
  </HeadingPairs>
  <TitlesOfParts>
    <vt:vector size="37" baseType="lpstr">
      <vt:lpstr>작성및삭제금지</vt:lpstr>
      <vt:lpstr>작성요령</vt:lpstr>
      <vt:lpstr>참여신청서</vt:lpstr>
      <vt:lpstr>참여업체</vt:lpstr>
      <vt:lpstr>지분율산정</vt:lpstr>
      <vt:lpstr>자기평가서-기술적이행능력평가(1단계)</vt:lpstr>
      <vt:lpstr>자기평가서(2단계-종합기술제안서 정량평가)</vt:lpstr>
      <vt:lpstr>업무중첩도</vt:lpstr>
      <vt:lpstr>2-1 용역평가결과</vt:lpstr>
      <vt:lpstr>2-2 기술개발 및 투자실적</vt:lpstr>
      <vt:lpstr>2-3 유사용역실적</vt:lpstr>
      <vt:lpstr>3-1 참여기술인(등급)</vt:lpstr>
      <vt:lpstr>3-2 책임기술인</vt:lpstr>
      <vt:lpstr>3-2 분야별기술인(토목)</vt:lpstr>
      <vt:lpstr>3-2 분야별기술인(안전)</vt:lpstr>
      <vt:lpstr>3-2 기술지원기술인(기술지원)</vt:lpstr>
      <vt:lpstr>3-3 교육훈련</vt:lpstr>
      <vt:lpstr>4.BIM전문인력 구성</vt:lpstr>
      <vt:lpstr>5-1 (가점)건설기술인 신규고용율</vt:lpstr>
      <vt:lpstr>5-2 (가점)젊은기술인 참여비율</vt:lpstr>
      <vt:lpstr>'2-1 용역평가결과'!Print_Area</vt:lpstr>
      <vt:lpstr>'2-2 기술개발 및 투자실적'!Print_Area</vt:lpstr>
      <vt:lpstr>'2-3 유사용역실적'!Print_Area</vt:lpstr>
      <vt:lpstr>'3-1 참여기술인(등급)'!Print_Area</vt:lpstr>
      <vt:lpstr>'3-2 기술지원기술인(기술지원)'!Print_Area</vt:lpstr>
      <vt:lpstr>'3-2 분야별기술인(안전)'!Print_Area</vt:lpstr>
      <vt:lpstr>'3-2 분야별기술인(토목)'!Print_Area</vt:lpstr>
      <vt:lpstr>'3-2 책임기술인'!Print_Area</vt:lpstr>
      <vt:lpstr>'4.BIM전문인력 구성'!Print_Area</vt:lpstr>
      <vt:lpstr>'5-1 (가점)건설기술인 신규고용율'!Print_Area</vt:lpstr>
      <vt:lpstr>'5-2 (가점)젊은기술인 참여비율'!Print_Area</vt:lpstr>
      <vt:lpstr>업무중첩도!Print_Area</vt:lpstr>
      <vt:lpstr>'자기평가서(2단계-종합기술제안서 정량평가)'!Print_Area</vt:lpstr>
      <vt:lpstr>'자기평가서-기술적이행능력평가(1단계)'!Print_Area</vt:lpstr>
      <vt:lpstr>작성및삭제금지!Print_Area</vt:lpstr>
      <vt:lpstr>지분율산정!Print_Area</vt:lpstr>
      <vt:lpstr>'3-2 책임기술인'!Print_Titles</vt:lpstr>
    </vt:vector>
  </TitlesOfParts>
  <Company>LH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</dc:creator>
  <cp:lastModifiedBy>장충만</cp:lastModifiedBy>
  <cp:lastPrinted>2025-08-06T05:59:34Z</cp:lastPrinted>
  <dcterms:created xsi:type="dcterms:W3CDTF">2019-06-03T05:17:47Z</dcterms:created>
  <dcterms:modified xsi:type="dcterms:W3CDTF">2026-01-08T01:29:01Z</dcterms:modified>
</cp:coreProperties>
</file>